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5E9DB891-6909-4ED9-AE19-1E039D8689B7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0">รวมใต้!$1:$6</definedName>
  </definedNames>
  <calcPr calcId="179021"/>
</workbook>
</file>

<file path=xl/calcChain.xml><?xml version="1.0" encoding="utf-8"?>
<calcChain xmlns="http://schemas.openxmlformats.org/spreadsheetml/2006/main">
  <c r="J677" i="15" l="1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K618" i="15" s="1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K431" i="15" s="1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K396" i="15" s="1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N330" i="15"/>
  <c r="M330" i="15"/>
  <c r="P330" i="15" s="1"/>
  <c r="L330" i="15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O311" i="15"/>
  <c r="N311" i="15"/>
  <c r="M311" i="15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L296" i="15"/>
  <c r="L295" i="15"/>
  <c r="N294" i="15"/>
  <c r="M294" i="15"/>
  <c r="O293" i="15"/>
  <c r="P291" i="15"/>
  <c r="O291" i="15"/>
  <c r="N291" i="15"/>
  <c r="M291" i="15"/>
  <c r="L291" i="15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N272" i="15"/>
  <c r="M272" i="15"/>
  <c r="L272" i="15"/>
  <c r="O272" i="15" s="1"/>
  <c r="J270" i="15"/>
  <c r="I270" i="15"/>
  <c r="J269" i="15"/>
  <c r="J268" i="15"/>
  <c r="K267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P251" i="15"/>
  <c r="N251" i="15"/>
  <c r="M251" i="15"/>
  <c r="L251" i="15"/>
  <c r="J249" i="15"/>
  <c r="K249" i="15" s="1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L144" i="15" s="1"/>
  <c r="N144" i="15"/>
  <c r="M144" i="15"/>
  <c r="O143" i="15"/>
  <c r="M142" i="15"/>
  <c r="P141" i="15"/>
  <c r="N141" i="15"/>
  <c r="M141" i="15"/>
  <c r="L141" i="15"/>
  <c r="O141" i="15" s="1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O126" i="15"/>
  <c r="N126" i="15"/>
  <c r="L126" i="15"/>
  <c r="L124" i="15"/>
  <c r="L123" i="15"/>
  <c r="N122" i="15"/>
  <c r="M122" i="15"/>
  <c r="M120" i="15" s="1"/>
  <c r="O121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L100" i="15"/>
  <c r="L99" i="15"/>
  <c r="N98" i="15"/>
  <c r="N96" i="15" s="1"/>
  <c r="M98" i="15"/>
  <c r="O97" i="15"/>
  <c r="P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N67" i="15"/>
  <c r="M67" i="15"/>
  <c r="L67" i="15"/>
  <c r="O67" i="15" s="1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N54" i="15"/>
  <c r="M54" i="15"/>
  <c r="P54" i="15" s="1"/>
  <c r="L54" i="15"/>
  <c r="O54" i="15" s="1"/>
  <c r="N49" i="15"/>
  <c r="L49" i="15"/>
  <c r="O49" i="15" s="1"/>
  <c r="L47" i="15"/>
  <c r="L46" i="15"/>
  <c r="N45" i="15"/>
  <c r="M45" i="15"/>
  <c r="M43" i="15" s="1"/>
  <c r="M41" i="15" s="1"/>
  <c r="P42" i="15"/>
  <c r="N42" i="15"/>
  <c r="M42" i="15"/>
  <c r="L42" i="15"/>
  <c r="O42" i="15" s="1"/>
  <c r="P36" i="15"/>
  <c r="O36" i="15"/>
  <c r="P35" i="15"/>
  <c r="O35" i="15"/>
  <c r="M34" i="15"/>
  <c r="P34" i="15" s="1"/>
  <c r="P33" i="15"/>
  <c r="M33" i="15"/>
  <c r="M32" i="15"/>
  <c r="P32" i="15" s="1"/>
  <c r="M31" i="15"/>
  <c r="M29" i="15" s="1"/>
  <c r="M30" i="15"/>
  <c r="P30" i="15" s="1"/>
  <c r="O25" i="15"/>
  <c r="N25" i="15"/>
  <c r="M25" i="15"/>
  <c r="P25" i="15" s="1"/>
  <c r="L25" i="15"/>
  <c r="N24" i="15"/>
  <c r="M24" i="15"/>
  <c r="P24" i="15" s="1"/>
  <c r="N23" i="15"/>
  <c r="M23" i="15"/>
  <c r="P21" i="15"/>
  <c r="O21" i="15"/>
  <c r="N21" i="15"/>
  <c r="M21" i="15"/>
  <c r="L21" i="15"/>
  <c r="O19" i="15"/>
  <c r="N19" i="15"/>
  <c r="M19" i="15"/>
  <c r="P19" i="15" s="1"/>
  <c r="L19" i="15"/>
  <c r="N15" i="15"/>
  <c r="L15" i="15"/>
  <c r="O15" i="15" s="1"/>
  <c r="P14" i="15"/>
  <c r="M14" i="15"/>
  <c r="M11" i="15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O568" i="14" s="1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O383" i="14" s="1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O330" i="14"/>
  <c r="N330" i="14"/>
  <c r="M330" i="14"/>
  <c r="P330" i="14" s="1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P311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O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P272" i="14"/>
  <c r="N272" i="14"/>
  <c r="M272" i="14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P251" i="14"/>
  <c r="O251" i="14"/>
  <c r="N251" i="14"/>
  <c r="M251" i="14"/>
  <c r="L251" i="14"/>
  <c r="J249" i="14"/>
  <c r="I249" i="14"/>
  <c r="K249" i="14" s="1"/>
  <c r="J246" i="14"/>
  <c r="J245" i="14"/>
  <c r="J244" i="14"/>
  <c r="I244" i="14"/>
  <c r="J243" i="14"/>
  <c r="J242" i="14"/>
  <c r="J241" i="14"/>
  <c r="J240" i="14"/>
  <c r="J238" i="14"/>
  <c r="I238" i="14"/>
  <c r="J237" i="14"/>
  <c r="J236" i="14"/>
  <c r="J235" i="14"/>
  <c r="I235" i="14"/>
  <c r="K235" i="14" s="1"/>
  <c r="J234" i="14"/>
  <c r="J233" i="14"/>
  <c r="J232" i="14"/>
  <c r="J231" i="14"/>
  <c r="J229" i="14"/>
  <c r="I229" i="14"/>
  <c r="K229" i="14" s="1"/>
  <c r="N228" i="14"/>
  <c r="L228" i="14"/>
  <c r="L226" i="14"/>
  <c r="L225" i="14"/>
  <c r="N224" i="14"/>
  <c r="M224" i="14"/>
  <c r="P224" i="14" s="1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M120" i="14" s="1"/>
  <c r="O121" i="14"/>
  <c r="N119" i="14"/>
  <c r="M119" i="14"/>
  <c r="P119" i="14" s="1"/>
  <c r="L119" i="14"/>
  <c r="O119" i="14" s="1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N95" i="14"/>
  <c r="M95" i="14"/>
  <c r="L95" i="14"/>
  <c r="O95" i="14" s="1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L70" i="14" s="1"/>
  <c r="O70" i="14" s="1"/>
  <c r="N70" i="14"/>
  <c r="M70" i="14"/>
  <c r="M68" i="14" s="1"/>
  <c r="P68" i="14" s="1"/>
  <c r="O69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L54" i="14"/>
  <c r="O54" i="14" s="1"/>
  <c r="N49" i="14"/>
  <c r="L49" i="14"/>
  <c r="O49" i="14" s="1"/>
  <c r="L47" i="14"/>
  <c r="L46" i="14"/>
  <c r="N45" i="14"/>
  <c r="M45" i="14"/>
  <c r="N42" i="14"/>
  <c r="M42" i="14"/>
  <c r="P42" i="14" s="1"/>
  <c r="L42" i="14"/>
  <c r="O42" i="14" s="1"/>
  <c r="P36" i="14"/>
  <c r="O36" i="14"/>
  <c r="P35" i="14"/>
  <c r="O35" i="14"/>
  <c r="M34" i="14"/>
  <c r="P34" i="14" s="1"/>
  <c r="M33" i="14"/>
  <c r="P33" i="14" s="1"/>
  <c r="M32" i="14"/>
  <c r="M31" i="14"/>
  <c r="P31" i="14" s="1"/>
  <c r="N25" i="14"/>
  <c r="M25" i="14"/>
  <c r="L25" i="14"/>
  <c r="O25" i="14" s="1"/>
  <c r="N24" i="14"/>
  <c r="M24" i="14"/>
  <c r="P24" i="14" s="1"/>
  <c r="N23" i="14"/>
  <c r="M23" i="14"/>
  <c r="P23" i="14" s="1"/>
  <c r="P21" i="14"/>
  <c r="O21" i="14"/>
  <c r="N21" i="14"/>
  <c r="M21" i="14"/>
  <c r="L21" i="14"/>
  <c r="N19" i="14"/>
  <c r="L19" i="14"/>
  <c r="O19" i="14" s="1"/>
  <c r="O15" i="14"/>
  <c r="N15" i="14"/>
  <c r="L15" i="14"/>
  <c r="P14" i="14"/>
  <c r="M14" i="14"/>
  <c r="M13" i="14"/>
  <c r="P13" i="14" s="1"/>
  <c r="M11" i="14"/>
  <c r="P11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K375" i="13" s="1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L335" i="13"/>
  <c r="L334" i="13"/>
  <c r="N333" i="13"/>
  <c r="M333" i="13"/>
  <c r="O332" i="13"/>
  <c r="N330" i="13"/>
  <c r="M330" i="13"/>
  <c r="L330" i="13"/>
  <c r="O330" i="13" s="1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M318" i="13" s="1"/>
  <c r="L316" i="13"/>
  <c r="L314" i="13" s="1"/>
  <c r="L315" i="13"/>
  <c r="N314" i="13"/>
  <c r="M314" i="13"/>
  <c r="O313" i="13"/>
  <c r="P311" i="13"/>
  <c r="N311" i="13"/>
  <c r="M311" i="13"/>
  <c r="L311" i="13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J287" i="13"/>
  <c r="J286" i="13"/>
  <c r="J285" i="13"/>
  <c r="I285" i="13"/>
  <c r="K285" i="13" s="1"/>
  <c r="J284" i="13"/>
  <c r="J283" i="13"/>
  <c r="J282" i="13"/>
  <c r="J281" i="13"/>
  <c r="N279" i="13"/>
  <c r="L279" i="13"/>
  <c r="L277" i="13"/>
  <c r="L276" i="13"/>
  <c r="N275" i="13"/>
  <c r="M275" i="13"/>
  <c r="M273" i="13" s="1"/>
  <c r="O274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O251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N221" i="13"/>
  <c r="M221" i="13"/>
  <c r="P221" i="13" s="1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P95" i="13"/>
  <c r="O95" i="13"/>
  <c r="N95" i="13"/>
  <c r="M95" i="13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P67" i="13"/>
  <c r="O67" i="13"/>
  <c r="N67" i="13"/>
  <c r="M67" i="13"/>
  <c r="L67" i="13"/>
  <c r="J65" i="13"/>
  <c r="I65" i="13"/>
  <c r="K65" i="13" s="1"/>
  <c r="J64" i="13"/>
  <c r="I64" i="13"/>
  <c r="K64" i="13" s="1"/>
  <c r="N61" i="13"/>
  <c r="L61" i="13"/>
  <c r="L59" i="13"/>
  <c r="L58" i="13"/>
  <c r="N57" i="13"/>
  <c r="M57" i="13"/>
  <c r="P54" i="13"/>
  <c r="O54" i="13"/>
  <c r="N54" i="13"/>
  <c r="M54" i="13"/>
  <c r="L54" i="13"/>
  <c r="N49" i="13"/>
  <c r="L49" i="13"/>
  <c r="O49" i="13" s="1"/>
  <c r="L47" i="13"/>
  <c r="L46" i="13"/>
  <c r="N45" i="13"/>
  <c r="M45" i="13"/>
  <c r="P42" i="13"/>
  <c r="N42" i="13"/>
  <c r="M42" i="13"/>
  <c r="L42" i="13"/>
  <c r="P36" i="13"/>
  <c r="O36" i="13"/>
  <c r="P35" i="13"/>
  <c r="O35" i="13"/>
  <c r="M34" i="13"/>
  <c r="P33" i="13"/>
  <c r="M33" i="13"/>
  <c r="M32" i="13"/>
  <c r="P32" i="13" s="1"/>
  <c r="P31" i="13"/>
  <c r="M31" i="13"/>
  <c r="M29" i="13" s="1"/>
  <c r="P29" i="13" s="1"/>
  <c r="M30" i="13"/>
  <c r="P30" i="13" s="1"/>
  <c r="M28" i="13"/>
  <c r="P28" i="13" s="1"/>
  <c r="N25" i="13"/>
  <c r="M25" i="13"/>
  <c r="P25" i="13" s="1"/>
  <c r="L25" i="13"/>
  <c r="O25" i="13" s="1"/>
  <c r="P24" i="13"/>
  <c r="N24" i="13"/>
  <c r="M24" i="13"/>
  <c r="N23" i="13"/>
  <c r="M23" i="13"/>
  <c r="P23" i="13" s="1"/>
  <c r="O21" i="13"/>
  <c r="N21" i="13"/>
  <c r="N19" i="13" s="1"/>
  <c r="M21" i="13"/>
  <c r="L21" i="13"/>
  <c r="L19" i="13"/>
  <c r="P15" i="13"/>
  <c r="N15" i="13"/>
  <c r="M15" i="13"/>
  <c r="L15" i="13"/>
  <c r="O15" i="13" s="1"/>
  <c r="M13" i="13"/>
  <c r="P13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5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O599" i="12" s="1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O564" i="12" s="1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K533" i="12" s="1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O455" i="12" s="1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K449" i="12" s="1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O435" i="12" s="1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K426" i="12" s="1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K420" i="12" s="1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K401" i="12" s="1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N311" i="12"/>
  <c r="M311" i="12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N251" i="12"/>
  <c r="M251" i="12"/>
  <c r="P251" i="12" s="1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N221" i="12"/>
  <c r="M221" i="12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M142" i="12"/>
  <c r="M140" i="12" s="1"/>
  <c r="O141" i="12"/>
  <c r="N141" i="12"/>
  <c r="M141" i="12"/>
  <c r="P141" i="12" s="1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M120" i="12"/>
  <c r="N119" i="12"/>
  <c r="M119" i="12"/>
  <c r="P119" i="12" s="1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O95" i="12"/>
  <c r="N95" i="12"/>
  <c r="M95" i="12"/>
  <c r="P95" i="12" s="1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1" i="12"/>
  <c r="N70" i="12"/>
  <c r="M70" i="12"/>
  <c r="P70" i="12" s="1"/>
  <c r="O69" i="12"/>
  <c r="O67" i="12"/>
  <c r="N67" i="12"/>
  <c r="M67" i="12"/>
  <c r="P67" i="12" s="1"/>
  <c r="L67" i="12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O54" i="12"/>
  <c r="N54" i="12"/>
  <c r="M54" i="12"/>
  <c r="L54" i="12"/>
  <c r="N49" i="12"/>
  <c r="L49" i="12"/>
  <c r="L47" i="12"/>
  <c r="L46" i="12"/>
  <c r="N45" i="12"/>
  <c r="M45" i="12"/>
  <c r="N42" i="12"/>
  <c r="M42" i="12"/>
  <c r="L42" i="12"/>
  <c r="P36" i="12"/>
  <c r="O36" i="12"/>
  <c r="P35" i="12"/>
  <c r="O35" i="12"/>
  <c r="M34" i="12"/>
  <c r="P34" i="12" s="1"/>
  <c r="M33" i="12"/>
  <c r="P33" i="12" s="1"/>
  <c r="M32" i="12"/>
  <c r="P32" i="12" s="1"/>
  <c r="P31" i="12"/>
  <c r="M31" i="12"/>
  <c r="P29" i="12"/>
  <c r="M29" i="12"/>
  <c r="N25" i="12"/>
  <c r="M25" i="12"/>
  <c r="P25" i="12" s="1"/>
  <c r="L25" i="12"/>
  <c r="O25" i="12" s="1"/>
  <c r="P24" i="12"/>
  <c r="N24" i="12"/>
  <c r="M24" i="12"/>
  <c r="P23" i="12"/>
  <c r="N23" i="12"/>
  <c r="M23" i="12"/>
  <c r="O21" i="12"/>
  <c r="N21" i="12"/>
  <c r="N19" i="12" s="1"/>
  <c r="M21" i="12"/>
  <c r="L21" i="12"/>
  <c r="L19" i="12"/>
  <c r="P15" i="12"/>
  <c r="O15" i="12"/>
  <c r="N15" i="12"/>
  <c r="M15" i="12"/>
  <c r="L15" i="12"/>
  <c r="M14" i="12"/>
  <c r="P14" i="12" s="1"/>
  <c r="M13" i="12"/>
  <c r="P13" i="12" s="1"/>
  <c r="J677" i="11"/>
  <c r="J676" i="11"/>
  <c r="J675" i="11"/>
  <c r="J674" i="11"/>
  <c r="J671" i="11" s="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K629" i="11" s="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6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M312" i="11" s="1"/>
  <c r="O313" i="11"/>
  <c r="O311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N291" i="11"/>
  <c r="M291" i="11"/>
  <c r="P291" i="11" s="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M273" i="11"/>
  <c r="P273" i="11" s="1"/>
  <c r="P272" i="11"/>
  <c r="O272" i="11"/>
  <c r="N272" i="11"/>
  <c r="M272" i="1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O253" i="11"/>
  <c r="O251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L226" i="11"/>
  <c r="L224" i="11" s="1"/>
  <c r="L225" i="11"/>
  <c r="N224" i="11"/>
  <c r="M224" i="11"/>
  <c r="O223" i="11"/>
  <c r="N221" i="11"/>
  <c r="M221" i="11"/>
  <c r="P221" i="11" s="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P122" i="11" s="1"/>
  <c r="O121" i="11"/>
  <c r="P119" i="11"/>
  <c r="N119" i="11"/>
  <c r="M119" i="1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N96" i="11" s="1"/>
  <c r="N94" i="11" s="1"/>
  <c r="M98" i="11"/>
  <c r="P98" i="11" s="1"/>
  <c r="O97" i="11"/>
  <c r="P95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P67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L59" i="11"/>
  <c r="L58" i="11"/>
  <c r="N57" i="11"/>
  <c r="M57" i="11"/>
  <c r="P54" i="11"/>
  <c r="O54" i="11"/>
  <c r="N54" i="11"/>
  <c r="M54" i="11"/>
  <c r="L54" i="11"/>
  <c r="N49" i="11"/>
  <c r="L49" i="11"/>
  <c r="M49" i="11" s="1"/>
  <c r="L47" i="11"/>
  <c r="L46" i="11"/>
  <c r="N45" i="11"/>
  <c r="M45" i="11"/>
  <c r="N42" i="11"/>
  <c r="M42" i="11"/>
  <c r="P42" i="11" s="1"/>
  <c r="L42" i="11"/>
  <c r="O42" i="11" s="1"/>
  <c r="P36" i="11"/>
  <c r="O36" i="11"/>
  <c r="P35" i="11"/>
  <c r="O35" i="11"/>
  <c r="M34" i="11"/>
  <c r="P34" i="11" s="1"/>
  <c r="M33" i="11"/>
  <c r="P33" i="11" s="1"/>
  <c r="M32" i="11"/>
  <c r="M31" i="11"/>
  <c r="P31" i="11" s="1"/>
  <c r="P29" i="11"/>
  <c r="M29" i="11"/>
  <c r="N25" i="11"/>
  <c r="M25" i="11"/>
  <c r="L25" i="11"/>
  <c r="O25" i="11" s="1"/>
  <c r="N24" i="11"/>
  <c r="M24" i="11"/>
  <c r="P24" i="11" s="1"/>
  <c r="P23" i="11"/>
  <c r="N23" i="11"/>
  <c r="M23" i="11"/>
  <c r="O21" i="11"/>
  <c r="N21" i="11"/>
  <c r="N19" i="11" s="1"/>
  <c r="M21" i="11"/>
  <c r="P21" i="11" s="1"/>
  <c r="L21" i="11"/>
  <c r="M19" i="11"/>
  <c r="L19" i="11"/>
  <c r="O19" i="11" s="1"/>
  <c r="O15" i="11"/>
  <c r="N15" i="11"/>
  <c r="L15" i="11"/>
  <c r="M14" i="11"/>
  <c r="P14" i="11" s="1"/>
  <c r="M13" i="11"/>
  <c r="P13" i="11" s="1"/>
  <c r="P11" i="11"/>
  <c r="M11" i="11"/>
  <c r="J677" i="10"/>
  <c r="J676" i="10"/>
  <c r="J675" i="10"/>
  <c r="J674" i="10"/>
  <c r="J671" i="10" s="1"/>
  <c r="J673" i="10"/>
  <c r="J672" i="10"/>
  <c r="N671" i="10"/>
  <c r="L671" i="10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N330" i="10"/>
  <c r="M330" i="10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P311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M292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O272" i="10"/>
  <c r="N272" i="10"/>
  <c r="M272" i="10"/>
  <c r="L272" i="10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P254" i="10" s="1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M220" i="10" s="1"/>
  <c r="O223" i="10"/>
  <c r="O221" i="10"/>
  <c r="N221" i="10"/>
  <c r="M221" i="10"/>
  <c r="P221" i="10" s="1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N141" i="10"/>
  <c r="M141" i="10"/>
  <c r="L141" i="10"/>
  <c r="O141" i="10" s="1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L124" i="10"/>
  <c r="L123" i="10"/>
  <c r="N122" i="10"/>
  <c r="M122" i="10"/>
  <c r="P122" i="10" s="1"/>
  <c r="O121" i="10"/>
  <c r="N119" i="10"/>
  <c r="M119" i="10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P67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L59" i="10"/>
  <c r="L58" i="10"/>
  <c r="N57" i="10"/>
  <c r="M57" i="10"/>
  <c r="P54" i="10"/>
  <c r="O54" i="10"/>
  <c r="N54" i="10"/>
  <c r="M54" i="10"/>
  <c r="L54" i="10"/>
  <c r="N49" i="10"/>
  <c r="L49" i="10"/>
  <c r="M49" i="10" s="1"/>
  <c r="L47" i="10"/>
  <c r="L46" i="10"/>
  <c r="N45" i="10"/>
  <c r="N43" i="10" s="1"/>
  <c r="M45" i="10"/>
  <c r="N42" i="10"/>
  <c r="M42" i="10"/>
  <c r="P42" i="10" s="1"/>
  <c r="L42" i="10"/>
  <c r="O42" i="10" s="1"/>
  <c r="P36" i="10"/>
  <c r="O36" i="10"/>
  <c r="P35" i="10"/>
  <c r="O35" i="10"/>
  <c r="M34" i="10"/>
  <c r="P34" i="10" s="1"/>
  <c r="M33" i="10"/>
  <c r="P33" i="10" s="1"/>
  <c r="M32" i="10"/>
  <c r="P31" i="10"/>
  <c r="M31" i="10"/>
  <c r="M29" i="10" s="1"/>
  <c r="N25" i="10"/>
  <c r="M25" i="10"/>
  <c r="L25" i="10"/>
  <c r="O25" i="10" s="1"/>
  <c r="P24" i="10"/>
  <c r="N24" i="10"/>
  <c r="M24" i="10"/>
  <c r="P23" i="10"/>
  <c r="N23" i="10"/>
  <c r="M23" i="10"/>
  <c r="O21" i="10"/>
  <c r="N21" i="10"/>
  <c r="M21" i="10"/>
  <c r="P21" i="10" s="1"/>
  <c r="L21" i="10"/>
  <c r="L19" i="10"/>
  <c r="O19" i="10" s="1"/>
  <c r="N15" i="10"/>
  <c r="M14" i="10"/>
  <c r="P14" i="10" s="1"/>
  <c r="M13" i="10"/>
  <c r="P13" i="10" s="1"/>
  <c r="J677" i="9"/>
  <c r="J676" i="9"/>
  <c r="J675" i="9"/>
  <c r="J674" i="9"/>
  <c r="J673" i="9"/>
  <c r="J672" i="9"/>
  <c r="N671" i="9"/>
  <c r="L671" i="9"/>
  <c r="O671" i="9" s="1"/>
  <c r="K671" i="9"/>
  <c r="I671" i="9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5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O582" i="9" s="1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O568" i="9" s="1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K428" i="9" s="1"/>
  <c r="J427" i="9"/>
  <c r="I427" i="9"/>
  <c r="J426" i="9"/>
  <c r="I426" i="9"/>
  <c r="J425" i="9"/>
  <c r="I425" i="9"/>
  <c r="J424" i="9"/>
  <c r="I424" i="9"/>
  <c r="J423" i="9"/>
  <c r="I423" i="9"/>
  <c r="J422" i="9"/>
  <c r="I422" i="9"/>
  <c r="K422" i="9" s="1"/>
  <c r="J421" i="9"/>
  <c r="I421" i="9"/>
  <c r="J420" i="9"/>
  <c r="I420" i="9"/>
  <c r="J419" i="9"/>
  <c r="I419" i="9"/>
  <c r="J418" i="9"/>
  <c r="I418" i="9"/>
  <c r="J417" i="9"/>
  <c r="I417" i="9"/>
  <c r="J416" i="9"/>
  <c r="I416" i="9"/>
  <c r="K416" i="9" s="1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K396" i="9" s="1"/>
  <c r="J394" i="9"/>
  <c r="J393" i="9"/>
  <c r="J392" i="9"/>
  <c r="J391" i="9"/>
  <c r="N389" i="9"/>
  <c r="N388" i="9"/>
  <c r="N387" i="9"/>
  <c r="N386" i="9"/>
  <c r="N385" i="9"/>
  <c r="L385" i="9"/>
  <c r="N384" i="9"/>
  <c r="L384" i="9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L335" i="9"/>
  <c r="L334" i="9"/>
  <c r="N333" i="9"/>
  <c r="M333" i="9"/>
  <c r="O332" i="9"/>
  <c r="N330" i="9"/>
  <c r="M330" i="9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O311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N291" i="9"/>
  <c r="M291" i="9"/>
  <c r="P291" i="9" s="1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P272" i="9"/>
  <c r="O272" i="9"/>
  <c r="N272" i="9"/>
  <c r="M272" i="9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K265" i="9" s="1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O251" i="9"/>
  <c r="N251" i="9"/>
  <c r="M251" i="9"/>
  <c r="P251" i="9" s="1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N221" i="9"/>
  <c r="M221" i="9"/>
  <c r="P221" i="9" s="1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N141" i="9"/>
  <c r="M141" i="9"/>
  <c r="L141" i="9"/>
  <c r="O141" i="9" s="1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L124" i="9"/>
  <c r="L123" i="9"/>
  <c r="N122" i="9"/>
  <c r="M122" i="9"/>
  <c r="O121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N95" i="9"/>
  <c r="M95" i="9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O69" i="9"/>
  <c r="P67" i="9"/>
  <c r="N67" i="9"/>
  <c r="M67" i="9"/>
  <c r="L67" i="9"/>
  <c r="J65" i="9"/>
  <c r="I65" i="9"/>
  <c r="J64" i="9"/>
  <c r="I64" i="9"/>
  <c r="N61" i="9"/>
  <c r="L61" i="9"/>
  <c r="O61" i="9" s="1"/>
  <c r="L59" i="9"/>
  <c r="L58" i="9"/>
  <c r="N57" i="9"/>
  <c r="M57" i="9"/>
  <c r="M55" i="9" s="1"/>
  <c r="N54" i="9"/>
  <c r="M54" i="9"/>
  <c r="L54" i="9"/>
  <c r="O54" i="9" s="1"/>
  <c r="N49" i="9"/>
  <c r="L49" i="9"/>
  <c r="O49" i="9" s="1"/>
  <c r="L47" i="9"/>
  <c r="L46" i="9"/>
  <c r="N45" i="9"/>
  <c r="M45" i="9"/>
  <c r="M43" i="9" s="1"/>
  <c r="N42" i="9"/>
  <c r="M42" i="9"/>
  <c r="P42" i="9" s="1"/>
  <c r="L42" i="9"/>
  <c r="O42" i="9" s="1"/>
  <c r="P36" i="9"/>
  <c r="O36" i="9"/>
  <c r="P35" i="9"/>
  <c r="O35" i="9"/>
  <c r="M34" i="9"/>
  <c r="P34" i="9" s="1"/>
  <c r="M33" i="9"/>
  <c r="P33" i="9" s="1"/>
  <c r="M32" i="9"/>
  <c r="M31" i="9"/>
  <c r="N25" i="9"/>
  <c r="M25" i="9"/>
  <c r="P25" i="9" s="1"/>
  <c r="L25" i="9"/>
  <c r="O25" i="9" s="1"/>
  <c r="P24" i="9"/>
  <c r="N24" i="9"/>
  <c r="M24" i="9"/>
  <c r="P23" i="9"/>
  <c r="N23" i="9"/>
  <c r="M23" i="9"/>
  <c r="O21" i="9"/>
  <c r="N21" i="9"/>
  <c r="M21" i="9"/>
  <c r="L21" i="9"/>
  <c r="N19" i="9"/>
  <c r="L19" i="9"/>
  <c r="O19" i="9" s="1"/>
  <c r="O15" i="9"/>
  <c r="N15" i="9"/>
  <c r="L15" i="9"/>
  <c r="M14" i="9"/>
  <c r="P14" i="9" s="1"/>
  <c r="M13" i="9"/>
  <c r="P13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1" i="8" s="1"/>
  <c r="J656" i="8"/>
  <c r="J655" i="8"/>
  <c r="J653" i="8"/>
  <c r="J652" i="8"/>
  <c r="N651" i="8"/>
  <c r="L651" i="8"/>
  <c r="O651" i="8" s="1"/>
  <c r="I651" i="8"/>
  <c r="K651" i="8" s="1"/>
  <c r="N650" i="8"/>
  <c r="L650" i="8"/>
  <c r="J650" i="8"/>
  <c r="I650" i="8"/>
  <c r="N649" i="8"/>
  <c r="L649" i="8"/>
  <c r="O649" i="8" s="1"/>
  <c r="J649" i="8"/>
  <c r="I649" i="8"/>
  <c r="K649" i="8" s="1"/>
  <c r="N648" i="8"/>
  <c r="L648" i="8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N330" i="8"/>
  <c r="M330" i="8"/>
  <c r="P330" i="8" s="1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L296" i="8"/>
  <c r="L295" i="8"/>
  <c r="N294" i="8"/>
  <c r="M294" i="8"/>
  <c r="P294" i="8" s="1"/>
  <c r="O293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P254" i="8" s="1"/>
  <c r="O253" i="8"/>
  <c r="O251" i="8"/>
  <c r="N251" i="8"/>
  <c r="M251" i="8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L226" i="8"/>
  <c r="L225" i="8"/>
  <c r="N224" i="8"/>
  <c r="M224" i="8"/>
  <c r="M222" i="8" s="1"/>
  <c r="O223" i="8"/>
  <c r="N221" i="8"/>
  <c r="M221" i="8"/>
  <c r="P221" i="8" s="1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K173" i="8" s="1"/>
  <c r="J172" i="8"/>
  <c r="J171" i="8"/>
  <c r="J170" i="8"/>
  <c r="J169" i="8"/>
  <c r="J164" i="8"/>
  <c r="I164" i="8"/>
  <c r="K164" i="8" s="1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N141" i="8"/>
  <c r="M141" i="8"/>
  <c r="P141" i="8" s="1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O121" i="8"/>
  <c r="P119" i="8"/>
  <c r="N119" i="8"/>
  <c r="M119" i="8"/>
  <c r="L119" i="8"/>
  <c r="O119" i="8" s="1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P95" i="8"/>
  <c r="O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M68" i="8" s="1"/>
  <c r="P68" i="8" s="1"/>
  <c r="O69" i="8"/>
  <c r="P67" i="8"/>
  <c r="N67" i="8"/>
  <c r="M67" i="8"/>
  <c r="L67" i="8"/>
  <c r="O67" i="8" s="1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O54" i="8"/>
  <c r="N54" i="8"/>
  <c r="M54" i="8"/>
  <c r="P54" i="8" s="1"/>
  <c r="L54" i="8"/>
  <c r="N49" i="8"/>
  <c r="L49" i="8"/>
  <c r="O49" i="8" s="1"/>
  <c r="L47" i="8"/>
  <c r="L46" i="8"/>
  <c r="N45" i="8"/>
  <c r="M45" i="8"/>
  <c r="P42" i="8"/>
  <c r="N42" i="8"/>
  <c r="M42" i="8"/>
  <c r="L42" i="8"/>
  <c r="O42" i="8" s="1"/>
  <c r="P36" i="8"/>
  <c r="O36" i="8"/>
  <c r="P35" i="8"/>
  <c r="O35" i="8"/>
  <c r="M34" i="8"/>
  <c r="P34" i="8" s="1"/>
  <c r="P33" i="8"/>
  <c r="M33" i="8"/>
  <c r="M32" i="8"/>
  <c r="P32" i="8" s="1"/>
  <c r="M31" i="8"/>
  <c r="P31" i="8" s="1"/>
  <c r="M30" i="8"/>
  <c r="P30" i="8" s="1"/>
  <c r="O25" i="8"/>
  <c r="N25" i="8"/>
  <c r="M25" i="8"/>
  <c r="P25" i="8" s="1"/>
  <c r="L25" i="8"/>
  <c r="N24" i="8"/>
  <c r="M24" i="8"/>
  <c r="P24" i="8" s="1"/>
  <c r="N23" i="8"/>
  <c r="M23" i="8"/>
  <c r="P21" i="8"/>
  <c r="N21" i="8"/>
  <c r="M21" i="8"/>
  <c r="L21" i="8"/>
  <c r="O21" i="8" s="1"/>
  <c r="P19" i="8"/>
  <c r="O19" i="8"/>
  <c r="N19" i="8"/>
  <c r="M19" i="8"/>
  <c r="L19" i="8"/>
  <c r="N15" i="8"/>
  <c r="M15" i="8"/>
  <c r="P15" i="8" s="1"/>
  <c r="L15" i="8"/>
  <c r="O15" i="8" s="1"/>
  <c r="P14" i="8"/>
  <c r="M14" i="8"/>
  <c r="M11" i="8"/>
  <c r="P11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K573" i="7" s="1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N551" i="7"/>
  <c r="L551" i="7"/>
  <c r="O551" i="7" s="1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K513" i="7"/>
  <c r="J513" i="7"/>
  <c r="I513" i="7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K432" i="7" s="1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O330" i="7"/>
  <c r="N330" i="7"/>
  <c r="M330" i="7"/>
  <c r="P330" i="7" s="1"/>
  <c r="L330" i="7"/>
  <c r="J328" i="7"/>
  <c r="I328" i="7"/>
  <c r="K328" i="7" s="1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L314" i="7" s="1"/>
  <c r="N314" i="7"/>
  <c r="M314" i="7"/>
  <c r="P314" i="7" s="1"/>
  <c r="O313" i="7"/>
  <c r="O311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P291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N272" i="7"/>
  <c r="M272" i="7"/>
  <c r="L272" i="7"/>
  <c r="O272" i="7" s="1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K199" i="7" s="1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L146" i="7"/>
  <c r="L145" i="7"/>
  <c r="N144" i="7"/>
  <c r="M144" i="7"/>
  <c r="M142" i="7" s="1"/>
  <c r="O143" i="7"/>
  <c r="N141" i="7"/>
  <c r="M141" i="7"/>
  <c r="P141" i="7" s="1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P122" i="7" s="1"/>
  <c r="O121" i="7"/>
  <c r="N119" i="7"/>
  <c r="M119" i="7"/>
  <c r="P119" i="7" s="1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O97" i="7"/>
  <c r="P95" i="7"/>
  <c r="N95" i="7"/>
  <c r="M95" i="7"/>
  <c r="L95" i="7"/>
  <c r="O95" i="7" s="1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P67" i="7"/>
  <c r="O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N54" i="7"/>
  <c r="M54" i="7"/>
  <c r="L54" i="7"/>
  <c r="O54" i="7" s="1"/>
  <c r="N49" i="7"/>
  <c r="L49" i="7"/>
  <c r="L47" i="7"/>
  <c r="L46" i="7"/>
  <c r="N45" i="7"/>
  <c r="M45" i="7"/>
  <c r="N42" i="7"/>
  <c r="M42" i="7"/>
  <c r="P42" i="7" s="1"/>
  <c r="L42" i="7"/>
  <c r="O42" i="7" s="1"/>
  <c r="P36" i="7"/>
  <c r="O36" i="7"/>
  <c r="P35" i="7"/>
  <c r="O35" i="7"/>
  <c r="M34" i="7"/>
  <c r="P34" i="7" s="1"/>
  <c r="M33" i="7"/>
  <c r="P33" i="7" s="1"/>
  <c r="P32" i="7"/>
  <c r="M32" i="7"/>
  <c r="P31" i="7"/>
  <c r="M31" i="7"/>
  <c r="P30" i="7"/>
  <c r="M30" i="7"/>
  <c r="M29" i="7"/>
  <c r="P25" i="7"/>
  <c r="N25" i="7"/>
  <c r="M25" i="7"/>
  <c r="L25" i="7"/>
  <c r="O25" i="7" s="1"/>
  <c r="P24" i="7"/>
  <c r="N24" i="7"/>
  <c r="M24" i="7"/>
  <c r="P23" i="7"/>
  <c r="N23" i="7"/>
  <c r="M23" i="7"/>
  <c r="N21" i="7"/>
  <c r="M21" i="7"/>
  <c r="P21" i="7" s="1"/>
  <c r="L21" i="7"/>
  <c r="N15" i="7"/>
  <c r="M15" i="7"/>
  <c r="P15" i="7" s="1"/>
  <c r="M14" i="7"/>
  <c r="P14" i="7" s="1"/>
  <c r="M13" i="7"/>
  <c r="P13" i="7" s="1"/>
  <c r="J677" i="6"/>
  <c r="J676" i="6"/>
  <c r="J675" i="6"/>
  <c r="J674" i="6"/>
  <c r="J673" i="6"/>
  <c r="J672" i="6"/>
  <c r="N671" i="6"/>
  <c r="L671" i="6"/>
  <c r="O671" i="6" s="1"/>
  <c r="I671" i="6"/>
  <c r="J670" i="6"/>
  <c r="J669" i="6"/>
  <c r="N668" i="6"/>
  <c r="L668" i="6"/>
  <c r="O668" i="6" s="1"/>
  <c r="J668" i="6"/>
  <c r="I668" i="6"/>
  <c r="J667" i="6"/>
  <c r="J666" i="6"/>
  <c r="N665" i="6"/>
  <c r="L665" i="6"/>
  <c r="O665" i="6" s="1"/>
  <c r="J665" i="6"/>
  <c r="I665" i="6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K547" i="6" s="1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N437" i="6"/>
  <c r="L437" i="6"/>
  <c r="N436" i="6"/>
  <c r="L436" i="6"/>
  <c r="N435" i="6"/>
  <c r="L435" i="6"/>
  <c r="J435" i="6"/>
  <c r="I435" i="6"/>
  <c r="K435" i="6" s="1"/>
  <c r="J434" i="6"/>
  <c r="J433" i="6"/>
  <c r="J432" i="6"/>
  <c r="I432" i="6"/>
  <c r="J431" i="6"/>
  <c r="I431" i="6"/>
  <c r="J430" i="6"/>
  <c r="I430" i="6"/>
  <c r="J429" i="6"/>
  <c r="I429" i="6"/>
  <c r="K429" i="6" s="1"/>
  <c r="J428" i="6"/>
  <c r="I428" i="6"/>
  <c r="K428" i="6" s="1"/>
  <c r="J427" i="6"/>
  <c r="I427" i="6"/>
  <c r="J426" i="6"/>
  <c r="I426" i="6"/>
  <c r="K426" i="6" s="1"/>
  <c r="J425" i="6"/>
  <c r="I425" i="6"/>
  <c r="J424" i="6"/>
  <c r="I424" i="6"/>
  <c r="J423" i="6"/>
  <c r="I423" i="6"/>
  <c r="K423" i="6" s="1"/>
  <c r="J422" i="6"/>
  <c r="I422" i="6"/>
  <c r="J421" i="6"/>
  <c r="I421" i="6"/>
  <c r="J420" i="6"/>
  <c r="I420" i="6"/>
  <c r="J419" i="6"/>
  <c r="I419" i="6"/>
  <c r="J418" i="6"/>
  <c r="I418" i="6"/>
  <c r="J417" i="6"/>
  <c r="I417" i="6"/>
  <c r="K417" i="6" s="1"/>
  <c r="J416" i="6"/>
  <c r="I416" i="6"/>
  <c r="K416" i="6" s="1"/>
  <c r="J415" i="6"/>
  <c r="J414" i="6"/>
  <c r="J413" i="6"/>
  <c r="J412" i="6"/>
  <c r="N410" i="6"/>
  <c r="N409" i="6"/>
  <c r="N408" i="6"/>
  <c r="N407" i="6"/>
  <c r="N406" i="6"/>
  <c r="L406" i="6"/>
  <c r="O406" i="6" s="1"/>
  <c r="N405" i="6"/>
  <c r="L405" i="6"/>
  <c r="O405" i="6" s="1"/>
  <c r="N404" i="6"/>
  <c r="L404" i="6"/>
  <c r="N403" i="6"/>
  <c r="L403" i="6"/>
  <c r="O403" i="6" s="1"/>
  <c r="J402" i="6"/>
  <c r="I402" i="6"/>
  <c r="K402" i="6" s="1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O353" i="6" s="1"/>
  <c r="N352" i="6"/>
  <c r="L352" i="6"/>
  <c r="O352" i="6" s="1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M329" i="6" s="1"/>
  <c r="O332" i="6"/>
  <c r="P330" i="6"/>
  <c r="O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P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P291" i="6"/>
  <c r="O291" i="6"/>
  <c r="N291" i="6"/>
  <c r="M291" i="6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N272" i="6"/>
  <c r="M272" i="6"/>
  <c r="L272" i="6"/>
  <c r="O272" i="6" s="1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P254" i="6" s="1"/>
  <c r="O253" i="6"/>
  <c r="P251" i="6"/>
  <c r="N251" i="6"/>
  <c r="M251" i="6"/>
  <c r="L251" i="6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P221" i="6"/>
  <c r="O221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J184" i="6"/>
  <c r="J183" i="6"/>
  <c r="J182" i="6"/>
  <c r="J181" i="6"/>
  <c r="J176" i="6"/>
  <c r="I176" i="6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M140" i="6" s="1"/>
  <c r="O143" i="6"/>
  <c r="P141" i="6"/>
  <c r="O141" i="6"/>
  <c r="N141" i="6"/>
  <c r="M141" i="6"/>
  <c r="L141" i="6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O119" i="6"/>
  <c r="N119" i="6"/>
  <c r="M119" i="6"/>
  <c r="L119" i="6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L100" i="6"/>
  <c r="L99" i="6"/>
  <c r="N98" i="6"/>
  <c r="M98" i="6"/>
  <c r="P98" i="6" s="1"/>
  <c r="O97" i="6"/>
  <c r="N95" i="6"/>
  <c r="M95" i="6"/>
  <c r="P95" i="6" s="1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P70" i="6" s="1"/>
  <c r="O69" i="6"/>
  <c r="N67" i="6"/>
  <c r="M67" i="6"/>
  <c r="L67" i="6"/>
  <c r="O67" i="6" s="1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N54" i="6"/>
  <c r="M54" i="6"/>
  <c r="P54" i="6" s="1"/>
  <c r="L54" i="6"/>
  <c r="N49" i="6"/>
  <c r="L49" i="6"/>
  <c r="L47" i="6"/>
  <c r="L46" i="6"/>
  <c r="N45" i="6"/>
  <c r="M45" i="6"/>
  <c r="P42" i="6"/>
  <c r="O42" i="6"/>
  <c r="N42" i="6"/>
  <c r="M42" i="6"/>
  <c r="L42" i="6"/>
  <c r="P36" i="6"/>
  <c r="O36" i="6"/>
  <c r="P35" i="6"/>
  <c r="O35" i="6"/>
  <c r="P34" i="6"/>
  <c r="M34" i="6"/>
  <c r="M33" i="6"/>
  <c r="P33" i="6" s="1"/>
  <c r="P32" i="6"/>
  <c r="M32" i="6"/>
  <c r="M31" i="6"/>
  <c r="P31" i="6" s="1"/>
  <c r="M30" i="6"/>
  <c r="P30" i="6" s="1"/>
  <c r="P25" i="6"/>
  <c r="N25" i="6"/>
  <c r="N15" i="6" s="1"/>
  <c r="M25" i="6"/>
  <c r="L25" i="6"/>
  <c r="O25" i="6" s="1"/>
  <c r="N24" i="6"/>
  <c r="M24" i="6"/>
  <c r="N23" i="6"/>
  <c r="M23" i="6"/>
  <c r="P23" i="6" s="1"/>
  <c r="P21" i="6"/>
  <c r="N21" i="6"/>
  <c r="M21" i="6"/>
  <c r="L21" i="6"/>
  <c r="P19" i="6"/>
  <c r="N19" i="6"/>
  <c r="M19" i="6"/>
  <c r="M15" i="6"/>
  <c r="P15" i="6" s="1"/>
  <c r="L15" i="6"/>
  <c r="O15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K573" i="5" s="1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K547" i="5" s="1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P312" i="5" s="1"/>
  <c r="O313" i="5"/>
  <c r="O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L296" i="5"/>
  <c r="L295" i="5"/>
  <c r="N294" i="5"/>
  <c r="M294" i="5"/>
  <c r="P294" i="5" s="1"/>
  <c r="O293" i="5"/>
  <c r="N291" i="5"/>
  <c r="M291" i="5"/>
  <c r="P291" i="5" s="1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P272" i="5"/>
  <c r="O272" i="5"/>
  <c r="N272" i="5"/>
  <c r="M272" i="5"/>
  <c r="L272" i="5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O251" i="5"/>
  <c r="N251" i="5"/>
  <c r="M251" i="5"/>
  <c r="L251" i="5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N221" i="5"/>
  <c r="M221" i="5"/>
  <c r="P221" i="5" s="1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N141" i="5"/>
  <c r="M141" i="5"/>
  <c r="L141" i="5"/>
  <c r="O141" i="5" s="1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P122" i="5" s="1"/>
  <c r="O121" i="5"/>
  <c r="P119" i="5"/>
  <c r="N119" i="5"/>
  <c r="M119" i="5"/>
  <c r="L119" i="5"/>
  <c r="J117" i="5"/>
  <c r="I117" i="5"/>
  <c r="K117" i="5" s="1"/>
  <c r="J115" i="5"/>
  <c r="J114" i="5"/>
  <c r="J113" i="5"/>
  <c r="I113" i="5"/>
  <c r="J112" i="5"/>
  <c r="K112" i="5" s="1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N95" i="5"/>
  <c r="M95" i="5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P67" i="5"/>
  <c r="N67" i="5"/>
  <c r="M67" i="5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N54" i="5"/>
  <c r="M54" i="5"/>
  <c r="L54" i="5"/>
  <c r="O54" i="5" s="1"/>
  <c r="N49" i="5"/>
  <c r="L49" i="5"/>
  <c r="O49" i="5" s="1"/>
  <c r="L47" i="5"/>
  <c r="L46" i="5"/>
  <c r="N45" i="5"/>
  <c r="M45" i="5"/>
  <c r="M43" i="5" s="1"/>
  <c r="N42" i="5"/>
  <c r="M42" i="5"/>
  <c r="P42" i="5" s="1"/>
  <c r="L42" i="5"/>
  <c r="P36" i="5"/>
  <c r="O36" i="5"/>
  <c r="P35" i="5"/>
  <c r="O35" i="5"/>
  <c r="M34" i="5"/>
  <c r="P34" i="5" s="1"/>
  <c r="M33" i="5"/>
  <c r="P33" i="5" s="1"/>
  <c r="M32" i="5"/>
  <c r="P31" i="5"/>
  <c r="M31" i="5"/>
  <c r="P29" i="5"/>
  <c r="M29" i="5"/>
  <c r="N25" i="5"/>
  <c r="M25" i="5"/>
  <c r="L25" i="5"/>
  <c r="O25" i="5" s="1"/>
  <c r="P24" i="5"/>
  <c r="N24" i="5"/>
  <c r="M24" i="5"/>
  <c r="P23" i="5"/>
  <c r="N23" i="5"/>
  <c r="M23" i="5"/>
  <c r="O21" i="5"/>
  <c r="N21" i="5"/>
  <c r="M21" i="5"/>
  <c r="L21" i="5"/>
  <c r="L19" i="5" s="1"/>
  <c r="O19" i="5" s="1"/>
  <c r="M19" i="5"/>
  <c r="N15" i="5"/>
  <c r="M13" i="5"/>
  <c r="P13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J649" i="4"/>
  <c r="I649" i="4"/>
  <c r="K649" i="4" s="1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5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N330" i="4"/>
  <c r="M330" i="4"/>
  <c r="L330" i="4"/>
  <c r="O330" i="4" s="1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P312" i="4" s="1"/>
  <c r="O313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L296" i="4"/>
  <c r="L295" i="4"/>
  <c r="N294" i="4"/>
  <c r="M294" i="4"/>
  <c r="P294" i="4" s="1"/>
  <c r="O293" i="4"/>
  <c r="N291" i="4"/>
  <c r="M291" i="4"/>
  <c r="P291" i="4" s="1"/>
  <c r="L291" i="4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N275" i="4"/>
  <c r="N273" i="4" s="1"/>
  <c r="M275" i="4"/>
  <c r="P275" i="4" s="1"/>
  <c r="O274" i="4"/>
  <c r="P272" i="4"/>
  <c r="O272" i="4"/>
  <c r="N272" i="4"/>
  <c r="M272" i="4"/>
  <c r="L272" i="4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N221" i="4"/>
  <c r="M221" i="4"/>
  <c r="P221" i="4" s="1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J213" i="1" s="1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P141" i="4"/>
  <c r="N141" i="4"/>
  <c r="M141" i="4"/>
  <c r="L141" i="4"/>
  <c r="O141" i="4" s="1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L124" i="4"/>
  <c r="L123" i="4"/>
  <c r="N122" i="4"/>
  <c r="M122" i="4"/>
  <c r="O121" i="4"/>
  <c r="P119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N95" i="4"/>
  <c r="M95" i="4"/>
  <c r="L95" i="4"/>
  <c r="O95" i="4" s="1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P67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L57" i="4" s="1"/>
  <c r="N57" i="4"/>
  <c r="M57" i="4"/>
  <c r="P54" i="4"/>
  <c r="N54" i="4"/>
  <c r="M54" i="4"/>
  <c r="L54" i="4"/>
  <c r="O54" i="4" s="1"/>
  <c r="N49" i="4"/>
  <c r="L49" i="4"/>
  <c r="O49" i="4" s="1"/>
  <c r="L47" i="4"/>
  <c r="L46" i="4"/>
  <c r="N45" i="4"/>
  <c r="M45" i="4"/>
  <c r="M43" i="4" s="1"/>
  <c r="N42" i="4"/>
  <c r="M42" i="4"/>
  <c r="P42" i="4" s="1"/>
  <c r="L42" i="4"/>
  <c r="P36" i="4"/>
  <c r="O36" i="4"/>
  <c r="P35" i="4"/>
  <c r="O35" i="4"/>
  <c r="M34" i="4"/>
  <c r="P34" i="4" s="1"/>
  <c r="M33" i="4"/>
  <c r="P33" i="4" s="1"/>
  <c r="P32" i="4"/>
  <c r="M32" i="4"/>
  <c r="M30" i="4" s="1"/>
  <c r="P30" i="4" s="1"/>
  <c r="P31" i="4"/>
  <c r="M31" i="4"/>
  <c r="P29" i="4"/>
  <c r="M29" i="4"/>
  <c r="M28" i="4"/>
  <c r="P28" i="4" s="1"/>
  <c r="N25" i="4"/>
  <c r="M25" i="4"/>
  <c r="P25" i="4" s="1"/>
  <c r="L25" i="4"/>
  <c r="O25" i="4" s="1"/>
  <c r="P24" i="4"/>
  <c r="N24" i="4"/>
  <c r="M24" i="4"/>
  <c r="P23" i="4"/>
  <c r="N23" i="4"/>
  <c r="M23" i="4"/>
  <c r="N21" i="4"/>
  <c r="M21" i="4"/>
  <c r="L21" i="4"/>
  <c r="L19" i="4" s="1"/>
  <c r="O19" i="4" s="1"/>
  <c r="M19" i="4"/>
  <c r="N15" i="4"/>
  <c r="M14" i="4"/>
  <c r="P14" i="4" s="1"/>
  <c r="M13" i="4"/>
  <c r="P13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K633" i="3" s="1"/>
  <c r="J632" i="3"/>
  <c r="I632" i="3"/>
  <c r="J631" i="3"/>
  <c r="I631" i="3"/>
  <c r="K631" i="3" s="1"/>
  <c r="J630" i="3"/>
  <c r="I630" i="3"/>
  <c r="J629" i="3"/>
  <c r="I629" i="3"/>
  <c r="J628" i="3"/>
  <c r="I628" i="3"/>
  <c r="K628" i="3" s="1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O601" i="3" s="1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K533" i="3" s="1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O353" i="3"/>
  <c r="N353" i="3"/>
  <c r="L353" i="3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P330" i="3"/>
  <c r="O330" i="3"/>
  <c r="N330" i="3"/>
  <c r="M330" i="3"/>
  <c r="L330" i="3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O313" i="3"/>
  <c r="N311" i="3"/>
  <c r="M311" i="3"/>
  <c r="L311" i="3"/>
  <c r="O311" i="3" s="1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P291" i="3"/>
  <c r="N291" i="3"/>
  <c r="M291" i="3"/>
  <c r="L291" i="3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N273" i="3" s="1"/>
  <c r="M275" i="3"/>
  <c r="O274" i="3"/>
  <c r="N272" i="3"/>
  <c r="M272" i="3"/>
  <c r="P272" i="3" s="1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P224" i="3" s="1"/>
  <c r="O223" i="3"/>
  <c r="P221" i="3"/>
  <c r="N221" i="3"/>
  <c r="M221" i="3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M140" i="3" s="1"/>
  <c r="O143" i="3"/>
  <c r="P141" i="3"/>
  <c r="O141" i="3"/>
  <c r="N141" i="3"/>
  <c r="M141" i="3"/>
  <c r="L141" i="3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M118" i="3" s="1"/>
  <c r="O121" i="3"/>
  <c r="O119" i="3"/>
  <c r="N119" i="3"/>
  <c r="M119" i="3"/>
  <c r="P119" i="3" s="1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P95" i="3"/>
  <c r="O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P54" i="3"/>
  <c r="O54" i="3"/>
  <c r="N54" i="3"/>
  <c r="M54" i="3"/>
  <c r="L54" i="3"/>
  <c r="N49" i="3"/>
  <c r="L49" i="3"/>
  <c r="O49" i="3" s="1"/>
  <c r="L47" i="3"/>
  <c r="L46" i="3"/>
  <c r="N45" i="3"/>
  <c r="M45" i="3"/>
  <c r="M43" i="3" s="1"/>
  <c r="P42" i="3"/>
  <c r="N42" i="3"/>
  <c r="M42" i="3"/>
  <c r="L42" i="3"/>
  <c r="O42" i="3" s="1"/>
  <c r="P36" i="3"/>
  <c r="O36" i="3"/>
  <c r="P35" i="3"/>
  <c r="O35" i="3"/>
  <c r="M34" i="3"/>
  <c r="P34" i="3" s="1"/>
  <c r="P33" i="3"/>
  <c r="M33" i="3"/>
  <c r="M32" i="3"/>
  <c r="P32" i="3" s="1"/>
  <c r="M31" i="3"/>
  <c r="M29" i="3" s="1"/>
  <c r="M30" i="3"/>
  <c r="P30" i="3" s="1"/>
  <c r="P25" i="3"/>
  <c r="O25" i="3"/>
  <c r="N25" i="3"/>
  <c r="M25" i="3"/>
  <c r="L25" i="3"/>
  <c r="N24" i="3"/>
  <c r="M24" i="3"/>
  <c r="P24" i="3" s="1"/>
  <c r="N23" i="3"/>
  <c r="M23" i="3"/>
  <c r="P21" i="3"/>
  <c r="N21" i="3"/>
  <c r="M21" i="3"/>
  <c r="L21" i="3"/>
  <c r="L19" i="3" s="1"/>
  <c r="O19" i="3"/>
  <c r="N19" i="3"/>
  <c r="M19" i="3"/>
  <c r="P19" i="3" s="1"/>
  <c r="P15" i="3"/>
  <c r="N15" i="3"/>
  <c r="M15" i="3"/>
  <c r="L15" i="3"/>
  <c r="O15" i="3" s="1"/>
  <c r="M14" i="3"/>
  <c r="P14" i="3" s="1"/>
  <c r="P11" i="3"/>
  <c r="M11" i="3"/>
  <c r="M9" i="3"/>
  <c r="P9" i="3" s="1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I663" i="2"/>
  <c r="K663" i="2" s="1"/>
  <c r="J662" i="2"/>
  <c r="N661" i="2"/>
  <c r="L661" i="2"/>
  <c r="O661" i="2" s="1"/>
  <c r="J661" i="2"/>
  <c r="J660" i="2"/>
  <c r="J659" i="2"/>
  <c r="J658" i="2"/>
  <c r="J657" i="2"/>
  <c r="J656" i="2"/>
  <c r="J655" i="2"/>
  <c r="J653" i="2"/>
  <c r="J652" i="2"/>
  <c r="N651" i="2"/>
  <c r="L651" i="2"/>
  <c r="I651" i="2"/>
  <c r="K651" i="2" s="1"/>
  <c r="N650" i="2"/>
  <c r="L650" i="2"/>
  <c r="O650" i="2" s="1"/>
  <c r="J650" i="2"/>
  <c r="I650" i="2"/>
  <c r="N649" i="2"/>
  <c r="L649" i="2"/>
  <c r="O649" i="2" s="1"/>
  <c r="J649" i="2"/>
  <c r="I649" i="2"/>
  <c r="K649" i="2" s="1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K633" i="2" s="1"/>
  <c r="J632" i="2"/>
  <c r="I632" i="2"/>
  <c r="K632" i="2" s="1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5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K580" i="2" s="1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O536" i="2"/>
  <c r="N536" i="2"/>
  <c r="L536" i="2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J511" i="2"/>
  <c r="I511" i="2"/>
  <c r="J510" i="2"/>
  <c r="I510" i="2"/>
  <c r="K510" i="2" s="1"/>
  <c r="J509" i="2"/>
  <c r="I509" i="2"/>
  <c r="J508" i="2"/>
  <c r="I508" i="2"/>
  <c r="K508" i="2" s="1"/>
  <c r="J507" i="2"/>
  <c r="I507" i="2"/>
  <c r="K507" i="2" s="1"/>
  <c r="J506" i="2"/>
  <c r="I506" i="2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K375" i="2" s="1"/>
  <c r="J374" i="2"/>
  <c r="I374" i="2"/>
  <c r="J373" i="2"/>
  <c r="I373" i="2"/>
  <c r="J372" i="2"/>
  <c r="I372" i="2"/>
  <c r="K372" i="2" s="1"/>
  <c r="J371" i="2"/>
  <c r="I371" i="2"/>
  <c r="K371" i="2" s="1"/>
  <c r="J370" i="2"/>
  <c r="I370" i="2"/>
  <c r="K370" i="2" s="1"/>
  <c r="J369" i="2"/>
  <c r="I369" i="2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O352" i="2" s="1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M318" i="2" s="1"/>
  <c r="M318" i="1" s="1"/>
  <c r="L316" i="2"/>
  <c r="L315" i="2"/>
  <c r="N314" i="2"/>
  <c r="M314" i="2"/>
  <c r="O313" i="2"/>
  <c r="O311" i="2"/>
  <c r="N311" i="2"/>
  <c r="M311" i="2"/>
  <c r="P311" i="2" s="1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P291" i="2"/>
  <c r="N291" i="2"/>
  <c r="M291" i="2"/>
  <c r="L291" i="2"/>
  <c r="O291" i="2" s="1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L277" i="2"/>
  <c r="L276" i="2"/>
  <c r="N275" i="2"/>
  <c r="M275" i="2"/>
  <c r="P275" i="2" s="1"/>
  <c r="O274" i="2"/>
  <c r="P272" i="2"/>
  <c r="N272" i="2"/>
  <c r="M272" i="2"/>
  <c r="L272" i="2"/>
  <c r="J270" i="2"/>
  <c r="I270" i="2"/>
  <c r="K270" i="2" s="1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O251" i="2"/>
  <c r="N251" i="2"/>
  <c r="M251" i="2"/>
  <c r="P251" i="2" s="1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M222" i="2" s="1"/>
  <c r="O223" i="2"/>
  <c r="P221" i="2"/>
  <c r="O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L146" i="2"/>
  <c r="L145" i="2"/>
  <c r="N144" i="2"/>
  <c r="M144" i="2"/>
  <c r="O143" i="2"/>
  <c r="N141" i="2"/>
  <c r="M141" i="2"/>
  <c r="P141" i="2" s="1"/>
  <c r="L141" i="2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M118" i="2" s="1"/>
  <c r="O121" i="2"/>
  <c r="P119" i="2"/>
  <c r="O119" i="2"/>
  <c r="N119" i="2"/>
  <c r="M119" i="2"/>
  <c r="L119" i="2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O97" i="2"/>
  <c r="P95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O69" i="2"/>
  <c r="N67" i="2"/>
  <c r="M67" i="2"/>
  <c r="L67" i="2"/>
  <c r="O67" i="2" s="1"/>
  <c r="J65" i="2"/>
  <c r="I65" i="2"/>
  <c r="J64" i="2"/>
  <c r="I64" i="2"/>
  <c r="N61" i="2"/>
  <c r="L61" i="2"/>
  <c r="O61" i="2" s="1"/>
  <c r="L59" i="2"/>
  <c r="L58" i="2"/>
  <c r="N57" i="2"/>
  <c r="M57" i="2"/>
  <c r="M55" i="2" s="1"/>
  <c r="M53" i="2" s="1"/>
  <c r="O54" i="2"/>
  <c r="N54" i="2"/>
  <c r="M54" i="2"/>
  <c r="P54" i="2" s="1"/>
  <c r="L54" i="2"/>
  <c r="N49" i="2"/>
  <c r="L49" i="2"/>
  <c r="O49" i="2" s="1"/>
  <c r="L47" i="2"/>
  <c r="L46" i="2"/>
  <c r="N45" i="2"/>
  <c r="M45" i="2"/>
  <c r="P42" i="2"/>
  <c r="O42" i="2"/>
  <c r="N42" i="2"/>
  <c r="M42" i="2"/>
  <c r="L42" i="2"/>
  <c r="P36" i="2"/>
  <c r="O36" i="2"/>
  <c r="P35" i="2"/>
  <c r="O35" i="2"/>
  <c r="P34" i="2"/>
  <c r="M34" i="2"/>
  <c r="P33" i="2"/>
  <c r="M33" i="2"/>
  <c r="M32" i="2"/>
  <c r="P32" i="2" s="1"/>
  <c r="M31" i="2"/>
  <c r="M29" i="2" s="1"/>
  <c r="M30" i="2"/>
  <c r="P30" i="2" s="1"/>
  <c r="O25" i="2"/>
  <c r="N25" i="2"/>
  <c r="N15" i="2" s="1"/>
  <c r="M25" i="2"/>
  <c r="P25" i="2" s="1"/>
  <c r="L25" i="2"/>
  <c r="N24" i="2"/>
  <c r="M24" i="2"/>
  <c r="P24" i="2" s="1"/>
  <c r="N23" i="2"/>
  <c r="M23" i="2"/>
  <c r="P23" i="2" s="1"/>
  <c r="P21" i="2"/>
  <c r="O21" i="2"/>
  <c r="N21" i="2"/>
  <c r="M21" i="2"/>
  <c r="L21" i="2"/>
  <c r="O19" i="2"/>
  <c r="N19" i="2"/>
  <c r="M19" i="2"/>
  <c r="P19" i="2" s="1"/>
  <c r="L19" i="2"/>
  <c r="L15" i="2"/>
  <c r="O15" i="2" s="1"/>
  <c r="M11" i="2"/>
  <c r="J670" i="1"/>
  <c r="J669" i="1"/>
  <c r="O639" i="1"/>
  <c r="O637" i="1"/>
  <c r="I548" i="1"/>
  <c r="K548" i="1" s="1"/>
  <c r="I365" i="1"/>
  <c r="K365" i="1" s="1"/>
  <c r="L336" i="1"/>
  <c r="O332" i="1"/>
  <c r="N332" i="1"/>
  <c r="M332" i="1"/>
  <c r="L332" i="1"/>
  <c r="N330" i="1"/>
  <c r="M330" i="1"/>
  <c r="P330" i="1" s="1"/>
  <c r="L330" i="1"/>
  <c r="O330" i="1" s="1"/>
  <c r="L317" i="1"/>
  <c r="N313" i="1"/>
  <c r="M313" i="1"/>
  <c r="L313" i="1"/>
  <c r="O313" i="1" s="1"/>
  <c r="O311" i="1"/>
  <c r="N311" i="1"/>
  <c r="M311" i="1"/>
  <c r="P311" i="1" s="1"/>
  <c r="L311" i="1"/>
  <c r="J307" i="1"/>
  <c r="L297" i="1"/>
  <c r="O293" i="1"/>
  <c r="N293" i="1"/>
  <c r="M293" i="1"/>
  <c r="L293" i="1"/>
  <c r="N291" i="1"/>
  <c r="M291" i="1"/>
  <c r="P291" i="1" s="1"/>
  <c r="L291" i="1"/>
  <c r="O291" i="1" s="1"/>
  <c r="L278" i="1"/>
  <c r="O274" i="1"/>
  <c r="N274" i="1"/>
  <c r="M274" i="1"/>
  <c r="L274" i="1"/>
  <c r="N272" i="1"/>
  <c r="M272" i="1"/>
  <c r="P272" i="1" s="1"/>
  <c r="L272" i="1"/>
  <c r="O272" i="1" s="1"/>
  <c r="L257" i="1"/>
  <c r="N253" i="1"/>
  <c r="M253" i="1"/>
  <c r="L253" i="1"/>
  <c r="O253" i="1" s="1"/>
  <c r="P251" i="1"/>
  <c r="O251" i="1"/>
  <c r="N251" i="1"/>
  <c r="M251" i="1"/>
  <c r="L251" i="1"/>
  <c r="J240" i="1"/>
  <c r="L227" i="1"/>
  <c r="O223" i="1"/>
  <c r="N223" i="1"/>
  <c r="M223" i="1"/>
  <c r="L223" i="1"/>
  <c r="N221" i="1"/>
  <c r="M221" i="1"/>
  <c r="P221" i="1" s="1"/>
  <c r="L221" i="1"/>
  <c r="O221" i="1" s="1"/>
  <c r="J214" i="1"/>
  <c r="I214" i="1"/>
  <c r="J198" i="1"/>
  <c r="I175" i="1"/>
  <c r="I174" i="1"/>
  <c r="I172" i="1"/>
  <c r="I171" i="1"/>
  <c r="I170" i="1"/>
  <c r="L147" i="1"/>
  <c r="O143" i="1"/>
  <c r="N143" i="1"/>
  <c r="M143" i="1"/>
  <c r="L143" i="1"/>
  <c r="N141" i="1"/>
  <c r="M141" i="1"/>
  <c r="P141" i="1" s="1"/>
  <c r="L141" i="1"/>
  <c r="O141" i="1" s="1"/>
  <c r="L125" i="1"/>
  <c r="N121" i="1"/>
  <c r="M121" i="1"/>
  <c r="L121" i="1"/>
  <c r="L21" i="1" s="1"/>
  <c r="P119" i="1"/>
  <c r="O119" i="1"/>
  <c r="N119" i="1"/>
  <c r="M119" i="1"/>
  <c r="L119" i="1"/>
  <c r="L101" i="1"/>
  <c r="L25" i="1" s="1"/>
  <c r="N97" i="1"/>
  <c r="M97" i="1"/>
  <c r="L97" i="1"/>
  <c r="O97" i="1" s="1"/>
  <c r="O95" i="1"/>
  <c r="N95" i="1"/>
  <c r="M95" i="1"/>
  <c r="P95" i="1" s="1"/>
  <c r="L95" i="1"/>
  <c r="L73" i="1"/>
  <c r="N69" i="1"/>
  <c r="N21" i="1" s="1"/>
  <c r="M69" i="1"/>
  <c r="M21" i="1" s="1"/>
  <c r="L69" i="1"/>
  <c r="O69" i="1" s="1"/>
  <c r="N67" i="1"/>
  <c r="M67" i="1"/>
  <c r="P67" i="1" s="1"/>
  <c r="L67" i="1"/>
  <c r="O67" i="1" s="1"/>
  <c r="L60" i="1"/>
  <c r="L56" i="1"/>
  <c r="P54" i="1"/>
  <c r="O54" i="1"/>
  <c r="N54" i="1"/>
  <c r="M54" i="1"/>
  <c r="L54" i="1"/>
  <c r="L48" i="1"/>
  <c r="L44" i="1"/>
  <c r="L42" i="1" s="1"/>
  <c r="N42" i="1"/>
  <c r="M42" i="1"/>
  <c r="P36" i="1"/>
  <c r="N36" i="1"/>
  <c r="L36" i="1"/>
  <c r="O36" i="1" s="1"/>
  <c r="P35" i="1"/>
  <c r="O35" i="1"/>
  <c r="P34" i="1"/>
  <c r="M34" i="1"/>
  <c r="P33" i="1"/>
  <c r="M33" i="1"/>
  <c r="M32" i="1"/>
  <c r="P32" i="1" s="1"/>
  <c r="M31" i="1"/>
  <c r="M29" i="1" s="1"/>
  <c r="M30" i="1"/>
  <c r="P30" i="1" s="1"/>
  <c r="N25" i="1"/>
  <c r="N15" i="1" s="1"/>
  <c r="M25" i="1"/>
  <c r="P25" i="1" s="1"/>
  <c r="N24" i="1"/>
  <c r="M24" i="1"/>
  <c r="P24" i="1" s="1"/>
  <c r="N23" i="1"/>
  <c r="M23" i="1"/>
  <c r="P23" i="1" s="1"/>
  <c r="P15" i="1"/>
  <c r="M15" i="1"/>
  <c r="K343" i="3" l="1"/>
  <c r="O385" i="3"/>
  <c r="K421" i="5"/>
  <c r="K427" i="5"/>
  <c r="K464" i="5"/>
  <c r="K589" i="5"/>
  <c r="K595" i="5"/>
  <c r="K630" i="5"/>
  <c r="L333" i="6"/>
  <c r="K340" i="6"/>
  <c r="K343" i="6"/>
  <c r="L45" i="11"/>
  <c r="L43" i="11" s="1"/>
  <c r="L41" i="11" s="1"/>
  <c r="L98" i="11"/>
  <c r="N292" i="11"/>
  <c r="P314" i="11"/>
  <c r="O437" i="11"/>
  <c r="I516" i="1"/>
  <c r="L533" i="1"/>
  <c r="O533" i="1" s="1"/>
  <c r="N222" i="2"/>
  <c r="N312" i="6"/>
  <c r="N310" i="6" s="1"/>
  <c r="J233" i="1"/>
  <c r="J261" i="1"/>
  <c r="N292" i="8"/>
  <c r="N68" i="10"/>
  <c r="N66" i="10" s="1"/>
  <c r="N258" i="1"/>
  <c r="J267" i="1"/>
  <c r="K164" i="3"/>
  <c r="K186" i="3"/>
  <c r="K189" i="5"/>
  <c r="K368" i="9"/>
  <c r="O380" i="9"/>
  <c r="O564" i="9"/>
  <c r="O584" i="9"/>
  <c r="K619" i="12"/>
  <c r="K396" i="2"/>
  <c r="M57" i="1"/>
  <c r="M55" i="1" s="1"/>
  <c r="M53" i="1" s="1"/>
  <c r="O459" i="8"/>
  <c r="K464" i="8"/>
  <c r="K473" i="8"/>
  <c r="K482" i="8"/>
  <c r="K497" i="8"/>
  <c r="L57" i="10"/>
  <c r="O57" i="10" s="1"/>
  <c r="J651" i="10"/>
  <c r="L57" i="11"/>
  <c r="J158" i="1"/>
  <c r="L316" i="1"/>
  <c r="N222" i="5"/>
  <c r="N222" i="6"/>
  <c r="N220" i="6" s="1"/>
  <c r="J85" i="1"/>
  <c r="J419" i="1"/>
  <c r="N68" i="2"/>
  <c r="L331" i="6"/>
  <c r="L329" i="6" s="1"/>
  <c r="K633" i="11"/>
  <c r="K630" i="12"/>
  <c r="L312" i="13"/>
  <c r="K328" i="13"/>
  <c r="K345" i="2"/>
  <c r="L314" i="4"/>
  <c r="O314" i="4" s="1"/>
  <c r="K328" i="4"/>
  <c r="P333" i="4"/>
  <c r="O568" i="4"/>
  <c r="K200" i="5"/>
  <c r="K204" i="5"/>
  <c r="K372" i="8"/>
  <c r="K375" i="8"/>
  <c r="K396" i="8"/>
  <c r="J182" i="1"/>
  <c r="L144" i="2"/>
  <c r="O144" i="2" s="1"/>
  <c r="L333" i="4"/>
  <c r="J632" i="1"/>
  <c r="J635" i="1"/>
  <c r="N649" i="1"/>
  <c r="N74" i="1"/>
  <c r="J80" i="1"/>
  <c r="K219" i="5"/>
  <c r="L46" i="1"/>
  <c r="M122" i="1"/>
  <c r="J282" i="1"/>
  <c r="K189" i="9"/>
  <c r="K328" i="10"/>
  <c r="J366" i="1"/>
  <c r="J391" i="1"/>
  <c r="I397" i="1"/>
  <c r="O601" i="12"/>
  <c r="N142" i="14"/>
  <c r="N140" i="14" s="1"/>
  <c r="J186" i="1"/>
  <c r="J79" i="1"/>
  <c r="J93" i="1"/>
  <c r="J244" i="1"/>
  <c r="N351" i="1"/>
  <c r="J379" i="1"/>
  <c r="J422" i="1"/>
  <c r="J435" i="1"/>
  <c r="J489" i="1"/>
  <c r="I519" i="1"/>
  <c r="I522" i="1"/>
  <c r="I525" i="1"/>
  <c r="I528" i="1"/>
  <c r="I531" i="1"/>
  <c r="N540" i="1"/>
  <c r="N98" i="1"/>
  <c r="J105" i="1"/>
  <c r="J112" i="1"/>
  <c r="J117" i="1"/>
  <c r="J163" i="1"/>
  <c r="J189" i="1"/>
  <c r="L226" i="1"/>
  <c r="L347" i="1"/>
  <c r="O347" i="1" s="1"/>
  <c r="L45" i="8"/>
  <c r="L70" i="8"/>
  <c r="O70" i="8" s="1"/>
  <c r="L224" i="8"/>
  <c r="N96" i="10"/>
  <c r="N94" i="10" s="1"/>
  <c r="N273" i="11"/>
  <c r="N271" i="11" s="1"/>
  <c r="N331" i="15"/>
  <c r="N329" i="15" s="1"/>
  <c r="J306" i="1"/>
  <c r="I64" i="1"/>
  <c r="I80" i="1"/>
  <c r="J671" i="2"/>
  <c r="I138" i="1"/>
  <c r="P314" i="4"/>
  <c r="O650" i="8"/>
  <c r="N120" i="9"/>
  <c r="N118" i="9" s="1"/>
  <c r="J651" i="12"/>
  <c r="J242" i="1"/>
  <c r="J204" i="1"/>
  <c r="N568" i="1"/>
  <c r="N222" i="3"/>
  <c r="K631" i="4"/>
  <c r="J104" i="1"/>
  <c r="I200" i="1"/>
  <c r="N254" i="1"/>
  <c r="J265" i="1"/>
  <c r="K285" i="8"/>
  <c r="L314" i="8"/>
  <c r="L312" i="8" s="1"/>
  <c r="J84" i="1"/>
  <c r="J87" i="1"/>
  <c r="J92" i="1"/>
  <c r="K341" i="10"/>
  <c r="O347" i="10"/>
  <c r="J595" i="1"/>
  <c r="N122" i="1"/>
  <c r="L146" i="1"/>
  <c r="J155" i="1"/>
  <c r="J169" i="1"/>
  <c r="J183" i="1"/>
  <c r="J187" i="1"/>
  <c r="J196" i="1"/>
  <c r="O224" i="11"/>
  <c r="N228" i="1"/>
  <c r="J321" i="1"/>
  <c r="J236" i="1"/>
  <c r="L98" i="2"/>
  <c r="O98" i="2" s="1"/>
  <c r="K200" i="2"/>
  <c r="O580" i="2"/>
  <c r="K418" i="7"/>
  <c r="K421" i="7"/>
  <c r="K229" i="9"/>
  <c r="K235" i="9"/>
  <c r="L333" i="9"/>
  <c r="I340" i="1"/>
  <c r="K370" i="9"/>
  <c r="N32" i="9"/>
  <c r="N30" i="9" s="1"/>
  <c r="K372" i="10"/>
  <c r="K375" i="10"/>
  <c r="K419" i="10"/>
  <c r="K235" i="11"/>
  <c r="N49" i="1"/>
  <c r="J201" i="1"/>
  <c r="J368" i="1"/>
  <c r="J589" i="1"/>
  <c r="J260" i="1"/>
  <c r="L401" i="1"/>
  <c r="I93" i="1"/>
  <c r="L275" i="2"/>
  <c r="O275" i="2" s="1"/>
  <c r="O354" i="3"/>
  <c r="K149" i="4"/>
  <c r="N331" i="4"/>
  <c r="N329" i="4" s="1"/>
  <c r="K416" i="7"/>
  <c r="K431" i="7"/>
  <c r="K133" i="8"/>
  <c r="K595" i="13"/>
  <c r="I396" i="1"/>
  <c r="N409" i="1"/>
  <c r="K428" i="14"/>
  <c r="I431" i="1"/>
  <c r="K435" i="14"/>
  <c r="N440" i="1"/>
  <c r="J447" i="1"/>
  <c r="I455" i="1"/>
  <c r="O457" i="14"/>
  <c r="N460" i="1"/>
  <c r="K465" i="14"/>
  <c r="J505" i="1"/>
  <c r="J156" i="1"/>
  <c r="J197" i="1"/>
  <c r="I350" i="1"/>
  <c r="J617" i="1"/>
  <c r="J284" i="1"/>
  <c r="J370" i="1"/>
  <c r="P254" i="2"/>
  <c r="L314" i="2"/>
  <c r="O314" i="2" s="1"/>
  <c r="K185" i="3"/>
  <c r="K189" i="3"/>
  <c r="N314" i="1"/>
  <c r="L335" i="1"/>
  <c r="O349" i="3"/>
  <c r="J413" i="1"/>
  <c r="N455" i="1"/>
  <c r="J472" i="1"/>
  <c r="N120" i="4"/>
  <c r="N118" i="4" s="1"/>
  <c r="J195" i="1"/>
  <c r="L295" i="1"/>
  <c r="J302" i="1"/>
  <c r="L354" i="1"/>
  <c r="J369" i="1"/>
  <c r="N384" i="1"/>
  <c r="J400" i="1"/>
  <c r="J402" i="1"/>
  <c r="N405" i="1"/>
  <c r="N410" i="1"/>
  <c r="J416" i="1"/>
  <c r="J425" i="1"/>
  <c r="J428" i="1"/>
  <c r="J431" i="1"/>
  <c r="K431" i="1" s="1"/>
  <c r="J480" i="1"/>
  <c r="J483" i="1"/>
  <c r="N96" i="5"/>
  <c r="N94" i="5" s="1"/>
  <c r="N142" i="7"/>
  <c r="P142" i="7" s="1"/>
  <c r="N331" i="7"/>
  <c r="J345" i="1"/>
  <c r="J492" i="1"/>
  <c r="J495" i="1"/>
  <c r="I367" i="8"/>
  <c r="K367" i="8" s="1"/>
  <c r="J184" i="1"/>
  <c r="J162" i="1"/>
  <c r="I265" i="1"/>
  <c r="I374" i="1"/>
  <c r="L553" i="1"/>
  <c r="O553" i="1" s="1"/>
  <c r="N144" i="1"/>
  <c r="J149" i="1"/>
  <c r="I164" i="1"/>
  <c r="I173" i="1"/>
  <c r="K249" i="3"/>
  <c r="J671" i="3"/>
  <c r="J655" i="1"/>
  <c r="J661" i="1"/>
  <c r="J651" i="7"/>
  <c r="K219" i="8"/>
  <c r="K149" i="11"/>
  <c r="J520" i="1"/>
  <c r="J130" i="1"/>
  <c r="J175" i="1"/>
  <c r="J300" i="1"/>
  <c r="J325" i="1"/>
  <c r="L380" i="1"/>
  <c r="M98" i="1"/>
  <c r="P98" i="1" s="1"/>
  <c r="L258" i="1"/>
  <c r="O258" i="1" s="1"/>
  <c r="I504" i="1"/>
  <c r="K504" i="1" s="1"/>
  <c r="L98" i="3"/>
  <c r="L96" i="3" s="1"/>
  <c r="K219" i="4"/>
  <c r="N331" i="5"/>
  <c r="N329" i="5" s="1"/>
  <c r="N292" i="7"/>
  <c r="K635" i="8"/>
  <c r="P98" i="9"/>
  <c r="K112" i="9"/>
  <c r="K380" i="14"/>
  <c r="J499" i="1"/>
  <c r="L58" i="1"/>
  <c r="J188" i="1"/>
  <c r="J171" i="1"/>
  <c r="J320" i="1"/>
  <c r="L277" i="1"/>
  <c r="I249" i="1"/>
  <c r="I513" i="1"/>
  <c r="K513" i="1" s="1"/>
  <c r="L72" i="1"/>
  <c r="J82" i="1"/>
  <c r="K85" i="2"/>
  <c r="I88" i="1"/>
  <c r="J114" i="1"/>
  <c r="J218" i="1"/>
  <c r="J232" i="1"/>
  <c r="J237" i="1"/>
  <c r="J243" i="1"/>
  <c r="J249" i="1"/>
  <c r="K249" i="1" s="1"/>
  <c r="N275" i="1"/>
  <c r="J287" i="1"/>
  <c r="L298" i="1"/>
  <c r="I304" i="1"/>
  <c r="K304" i="1" s="1"/>
  <c r="J324" i="1"/>
  <c r="L334" i="1"/>
  <c r="L385" i="1"/>
  <c r="L406" i="1"/>
  <c r="K417" i="2"/>
  <c r="K420" i="2"/>
  <c r="I423" i="1"/>
  <c r="I426" i="1"/>
  <c r="O435" i="2"/>
  <c r="N442" i="1"/>
  <c r="K466" i="2"/>
  <c r="K481" i="2"/>
  <c r="K499" i="2"/>
  <c r="J78" i="1"/>
  <c r="K345" i="3"/>
  <c r="K349" i="3"/>
  <c r="K375" i="3"/>
  <c r="K381" i="3"/>
  <c r="K396" i="3"/>
  <c r="K109" i="4"/>
  <c r="K112" i="4"/>
  <c r="L224" i="4"/>
  <c r="O224" i="4" s="1"/>
  <c r="K398" i="4"/>
  <c r="O401" i="4"/>
  <c r="K450" i="4"/>
  <c r="K482" i="4"/>
  <c r="N43" i="6"/>
  <c r="N41" i="6" s="1"/>
  <c r="O564" i="6"/>
  <c r="J269" i="1"/>
  <c r="K464" i="11"/>
  <c r="K473" i="11"/>
  <c r="K482" i="11"/>
  <c r="K533" i="11"/>
  <c r="K621" i="11"/>
  <c r="O49" i="12"/>
  <c r="L70" i="12"/>
  <c r="O70" i="12" s="1"/>
  <c r="K93" i="12"/>
  <c r="L122" i="13"/>
  <c r="L120" i="13" s="1"/>
  <c r="J550" i="1"/>
  <c r="N555" i="1"/>
  <c r="N567" i="1"/>
  <c r="N584" i="1"/>
  <c r="O600" i="14"/>
  <c r="L600" i="1"/>
  <c r="O600" i="1" s="1"/>
  <c r="K579" i="15"/>
  <c r="I579" i="1"/>
  <c r="K579" i="1" s="1"/>
  <c r="K592" i="15"/>
  <c r="I592" i="1"/>
  <c r="K592" i="1" s="1"/>
  <c r="L49" i="1"/>
  <c r="I108" i="1"/>
  <c r="L148" i="1"/>
  <c r="O148" i="1" s="1"/>
  <c r="I371" i="1"/>
  <c r="K371" i="1" s="1"/>
  <c r="I589" i="1"/>
  <c r="K416" i="14"/>
  <c r="I416" i="1"/>
  <c r="K471" i="14"/>
  <c r="I471" i="1"/>
  <c r="K471" i="1" s="1"/>
  <c r="K498" i="14"/>
  <c r="I498" i="1"/>
  <c r="K344" i="10"/>
  <c r="I344" i="1"/>
  <c r="K344" i="1" s="1"/>
  <c r="L403" i="1"/>
  <c r="O403" i="1" s="1"/>
  <c r="J380" i="1"/>
  <c r="J417" i="1"/>
  <c r="J426" i="1"/>
  <c r="J466" i="1"/>
  <c r="J493" i="1"/>
  <c r="L100" i="1"/>
  <c r="J107" i="1"/>
  <c r="L144" i="4"/>
  <c r="O144" i="4" s="1"/>
  <c r="L145" i="1"/>
  <c r="J154" i="1"/>
  <c r="J159" i="1"/>
  <c r="J164" i="1"/>
  <c r="K164" i="1" s="1"/>
  <c r="J200" i="1"/>
  <c r="J234" i="1"/>
  <c r="J238" i="1"/>
  <c r="O351" i="4"/>
  <c r="L351" i="1"/>
  <c r="O351" i="1" s="1"/>
  <c r="K370" i="7"/>
  <c r="I370" i="1"/>
  <c r="O552" i="7"/>
  <c r="L552" i="1"/>
  <c r="O552" i="1" s="1"/>
  <c r="J372" i="1"/>
  <c r="J375" i="1"/>
  <c r="J381" i="1"/>
  <c r="J401" i="1"/>
  <c r="J423" i="1"/>
  <c r="K423" i="1" s="1"/>
  <c r="J432" i="1"/>
  <c r="J484" i="1"/>
  <c r="J490" i="1"/>
  <c r="I216" i="1"/>
  <c r="J631" i="1"/>
  <c r="K665" i="6"/>
  <c r="I665" i="1"/>
  <c r="K665" i="1" s="1"/>
  <c r="K668" i="6"/>
  <c r="I668" i="1"/>
  <c r="K668" i="1" s="1"/>
  <c r="K671" i="6"/>
  <c r="I671" i="1"/>
  <c r="K671" i="1" s="1"/>
  <c r="N603" i="1"/>
  <c r="J376" i="1"/>
  <c r="N403" i="1"/>
  <c r="J420" i="1"/>
  <c r="J429" i="1"/>
  <c r="N463" i="1"/>
  <c r="J478" i="1"/>
  <c r="J487" i="1"/>
  <c r="M45" i="1"/>
  <c r="J219" i="1"/>
  <c r="J134" i="1"/>
  <c r="J667" i="1"/>
  <c r="L102" i="1"/>
  <c r="I111" i="1"/>
  <c r="L124" i="1"/>
  <c r="J131" i="1"/>
  <c r="J135" i="1"/>
  <c r="O384" i="12"/>
  <c r="L384" i="1"/>
  <c r="O384" i="1" s="1"/>
  <c r="O228" i="14"/>
  <c r="L228" i="1"/>
  <c r="O228" i="1" s="1"/>
  <c r="K238" i="14"/>
  <c r="I238" i="1"/>
  <c r="K238" i="1" s="1"/>
  <c r="K244" i="14"/>
  <c r="I244" i="1"/>
  <c r="K244" i="1" s="1"/>
  <c r="M254" i="1"/>
  <c r="I306" i="1"/>
  <c r="K306" i="1" s="1"/>
  <c r="J209" i="1"/>
  <c r="K264" i="2"/>
  <c r="I264" i="1"/>
  <c r="I309" i="1"/>
  <c r="J362" i="1"/>
  <c r="K373" i="2"/>
  <c r="I373" i="1"/>
  <c r="K373" i="1" s="1"/>
  <c r="K376" i="2"/>
  <c r="I376" i="1"/>
  <c r="K429" i="2"/>
  <c r="I429" i="1"/>
  <c r="K432" i="2"/>
  <c r="I432" i="1"/>
  <c r="K449" i="2"/>
  <c r="I449" i="1"/>
  <c r="K452" i="2"/>
  <c r="I452" i="1"/>
  <c r="K452" i="1" s="1"/>
  <c r="O455" i="2"/>
  <c r="L455" i="1"/>
  <c r="O458" i="2"/>
  <c r="L458" i="1"/>
  <c r="O458" i="1" s="1"/>
  <c r="K511" i="2"/>
  <c r="I511" i="1"/>
  <c r="K511" i="1" s="1"/>
  <c r="J673" i="1"/>
  <c r="I343" i="1"/>
  <c r="N355" i="1"/>
  <c r="K176" i="6"/>
  <c r="I176" i="1"/>
  <c r="K185" i="6"/>
  <c r="I185" i="1"/>
  <c r="I189" i="1"/>
  <c r="J266" i="1"/>
  <c r="J464" i="1"/>
  <c r="K377" i="11"/>
  <c r="I377" i="1"/>
  <c r="I398" i="1"/>
  <c r="K398" i="1" s="1"/>
  <c r="L404" i="1"/>
  <c r="I368" i="1"/>
  <c r="K368" i="1" s="1"/>
  <c r="L439" i="1"/>
  <c r="L459" i="1"/>
  <c r="I464" i="1"/>
  <c r="I482" i="1"/>
  <c r="K482" i="1" s="1"/>
  <c r="J526" i="1"/>
  <c r="J532" i="1"/>
  <c r="J548" i="1"/>
  <c r="J210" i="1"/>
  <c r="K219" i="2"/>
  <c r="J340" i="1"/>
  <c r="K340" i="1" s="1"/>
  <c r="N142" i="3"/>
  <c r="N140" i="3" s="1"/>
  <c r="N252" i="3"/>
  <c r="N250" i="3" s="1"/>
  <c r="N61" i="1"/>
  <c r="N68" i="4"/>
  <c r="N66" i="4" s="1"/>
  <c r="K229" i="4"/>
  <c r="K619" i="4"/>
  <c r="L333" i="5"/>
  <c r="J651" i="5"/>
  <c r="O599" i="7"/>
  <c r="K189" i="8"/>
  <c r="K628" i="8"/>
  <c r="K634" i="8"/>
  <c r="L98" i="9"/>
  <c r="N68" i="11"/>
  <c r="N66" i="11" s="1"/>
  <c r="K185" i="13"/>
  <c r="M26" i="13"/>
  <c r="M16" i="13" s="1"/>
  <c r="O597" i="13"/>
  <c r="L98" i="14"/>
  <c r="O98" i="14" s="1"/>
  <c r="N222" i="14"/>
  <c r="N43" i="15"/>
  <c r="P43" i="15" s="1"/>
  <c r="N252" i="15"/>
  <c r="N250" i="15" s="1"/>
  <c r="K377" i="15"/>
  <c r="O383" i="15"/>
  <c r="N148" i="1"/>
  <c r="J157" i="1"/>
  <c r="I518" i="1"/>
  <c r="I524" i="1"/>
  <c r="I597" i="1"/>
  <c r="J675" i="1"/>
  <c r="N43" i="3"/>
  <c r="N41" i="3" s="1"/>
  <c r="N57" i="1"/>
  <c r="J64" i="1"/>
  <c r="K64" i="1" s="1"/>
  <c r="J89" i="1"/>
  <c r="N102" i="1"/>
  <c r="J108" i="1"/>
  <c r="J115" i="1"/>
  <c r="I132" i="1"/>
  <c r="K267" i="4"/>
  <c r="K370" i="4"/>
  <c r="N33" i="4"/>
  <c r="N13" i="4" s="1"/>
  <c r="K481" i="4"/>
  <c r="N43" i="7"/>
  <c r="N41" i="7" s="1"/>
  <c r="N55" i="8"/>
  <c r="N53" i="8" s="1"/>
  <c r="N142" i="8"/>
  <c r="N140" i="8" s="1"/>
  <c r="N312" i="8"/>
  <c r="N310" i="8" s="1"/>
  <c r="L224" i="9"/>
  <c r="L222" i="9" s="1"/>
  <c r="N273" i="9"/>
  <c r="K450" i="9"/>
  <c r="K328" i="11"/>
  <c r="N55" i="13"/>
  <c r="N53" i="13" s="1"/>
  <c r="N292" i="15"/>
  <c r="N290" i="15" s="1"/>
  <c r="L279" i="1"/>
  <c r="O279" i="1" s="1"/>
  <c r="N294" i="1"/>
  <c r="J322" i="1"/>
  <c r="I328" i="1"/>
  <c r="J341" i="1"/>
  <c r="J350" i="1"/>
  <c r="N358" i="1"/>
  <c r="J377" i="1"/>
  <c r="N380" i="1"/>
  <c r="O380" i="1" s="1"/>
  <c r="N383" i="1"/>
  <c r="J394" i="1"/>
  <c r="N408" i="1"/>
  <c r="N436" i="1"/>
  <c r="J450" i="1"/>
  <c r="J454" i="1"/>
  <c r="N456" i="1"/>
  <c r="N459" i="1"/>
  <c r="J467" i="1"/>
  <c r="J470" i="1"/>
  <c r="J473" i="1"/>
  <c r="J476" i="1"/>
  <c r="J482" i="1"/>
  <c r="J485" i="1"/>
  <c r="J497" i="1"/>
  <c r="J503" i="1"/>
  <c r="J515" i="1"/>
  <c r="J518" i="1"/>
  <c r="J521" i="1"/>
  <c r="J527" i="1"/>
  <c r="J530" i="1"/>
  <c r="N535" i="1"/>
  <c r="N538" i="1"/>
  <c r="J545" i="1"/>
  <c r="J549" i="1"/>
  <c r="N571" i="1"/>
  <c r="J676" i="1"/>
  <c r="P98" i="3"/>
  <c r="K109" i="3"/>
  <c r="I372" i="1"/>
  <c r="K372" i="1" s="1"/>
  <c r="N388" i="1"/>
  <c r="J399" i="1"/>
  <c r="I402" i="1"/>
  <c r="L45" i="5"/>
  <c r="L43" i="5" s="1"/>
  <c r="L41" i="5" s="1"/>
  <c r="O597" i="7"/>
  <c r="K158" i="11"/>
  <c r="K189" i="11"/>
  <c r="O568" i="13"/>
  <c r="O337" i="14"/>
  <c r="K341" i="14"/>
  <c r="O347" i="14"/>
  <c r="K132" i="15"/>
  <c r="K199" i="15"/>
  <c r="K229" i="15"/>
  <c r="P333" i="15"/>
  <c r="K349" i="15"/>
  <c r="L59" i="1"/>
  <c r="J65" i="1"/>
  <c r="N126" i="1"/>
  <c r="J132" i="1"/>
  <c r="J138" i="1"/>
  <c r="K138" i="1" s="1"/>
  <c r="N279" i="1"/>
  <c r="J285" i="1"/>
  <c r="L294" i="2"/>
  <c r="L292" i="2" s="1"/>
  <c r="J328" i="1"/>
  <c r="K328" i="1" s="1"/>
  <c r="K416" i="2"/>
  <c r="K419" i="2"/>
  <c r="K422" i="2"/>
  <c r="K431" i="2"/>
  <c r="K435" i="2"/>
  <c r="O533" i="2"/>
  <c r="M275" i="1"/>
  <c r="P275" i="1" s="1"/>
  <c r="N318" i="1"/>
  <c r="N333" i="1"/>
  <c r="J339" i="1"/>
  <c r="J653" i="1"/>
  <c r="K249" i="4"/>
  <c r="L275" i="4"/>
  <c r="L273" i="4" s="1"/>
  <c r="L271" i="4" s="1"/>
  <c r="O271" i="4" s="1"/>
  <c r="O404" i="4"/>
  <c r="L254" i="5"/>
  <c r="O254" i="5" s="1"/>
  <c r="K138" i="7"/>
  <c r="K435" i="7"/>
  <c r="O437" i="7"/>
  <c r="N252" i="9"/>
  <c r="N250" i="9" s="1"/>
  <c r="K219" i="10"/>
  <c r="O349" i="10"/>
  <c r="K417" i="10"/>
  <c r="L314" i="12"/>
  <c r="O314" i="12" s="1"/>
  <c r="K368" i="12"/>
  <c r="K499" i="12"/>
  <c r="L98" i="15"/>
  <c r="O98" i="15" s="1"/>
  <c r="L47" i="1"/>
  <c r="N600" i="1"/>
  <c r="J620" i="1"/>
  <c r="J623" i="1"/>
  <c r="J626" i="1"/>
  <c r="J630" i="1"/>
  <c r="J633" i="1"/>
  <c r="I199" i="1"/>
  <c r="J211" i="1"/>
  <c r="J245" i="1"/>
  <c r="K304" i="3"/>
  <c r="L333" i="3"/>
  <c r="J498" i="1"/>
  <c r="K498" i="1" s="1"/>
  <c r="J501" i="1"/>
  <c r="J507" i="1"/>
  <c r="J513" i="1"/>
  <c r="N536" i="1"/>
  <c r="N541" i="1"/>
  <c r="J547" i="1"/>
  <c r="J573" i="1"/>
  <c r="K164" i="4"/>
  <c r="K372" i="4"/>
  <c r="K402" i="4"/>
  <c r="K416" i="4"/>
  <c r="K419" i="4"/>
  <c r="O437" i="4"/>
  <c r="K465" i="4"/>
  <c r="K564" i="4"/>
  <c r="K635" i="4"/>
  <c r="L98" i="5"/>
  <c r="O98" i="5" s="1"/>
  <c r="O435" i="5"/>
  <c r="K597" i="5"/>
  <c r="K328" i="6"/>
  <c r="K482" i="6"/>
  <c r="O601" i="6"/>
  <c r="K164" i="7"/>
  <c r="K173" i="7"/>
  <c r="P333" i="7"/>
  <c r="K376" i="8"/>
  <c r="O537" i="8"/>
  <c r="K266" i="9"/>
  <c r="L294" i="9"/>
  <c r="O294" i="9" s="1"/>
  <c r="K466" i="9"/>
  <c r="K629" i="9"/>
  <c r="K635" i="9"/>
  <c r="O401" i="10"/>
  <c r="O404" i="10"/>
  <c r="K418" i="10"/>
  <c r="O535" i="10"/>
  <c r="O597" i="10"/>
  <c r="O435" i="11"/>
  <c r="K449" i="11"/>
  <c r="O566" i="11"/>
  <c r="L254" i="12"/>
  <c r="O254" i="12" s="1"/>
  <c r="L294" i="12"/>
  <c r="L292" i="12" s="1"/>
  <c r="K398" i="12"/>
  <c r="K418" i="12"/>
  <c r="L144" i="14"/>
  <c r="O144" i="14" s="1"/>
  <c r="O352" i="15"/>
  <c r="I465" i="1"/>
  <c r="I480" i="1"/>
  <c r="K480" i="1" s="1"/>
  <c r="I492" i="1"/>
  <c r="K492" i="1" s="1"/>
  <c r="O599" i="2"/>
  <c r="N644" i="2"/>
  <c r="N640" i="2" s="1"/>
  <c r="N638" i="2" s="1"/>
  <c r="N636" i="2" s="1"/>
  <c r="K65" i="3"/>
  <c r="K112" i="3"/>
  <c r="K132" i="3"/>
  <c r="J181" i="1"/>
  <c r="L225" i="1"/>
  <c r="J231" i="1"/>
  <c r="J263" i="1"/>
  <c r="J270" i="1"/>
  <c r="J491" i="1"/>
  <c r="N558" i="1"/>
  <c r="P224" i="4"/>
  <c r="M222" i="4"/>
  <c r="M220" i="4" s="1"/>
  <c r="J309" i="1"/>
  <c r="I149" i="1"/>
  <c r="J203" i="1"/>
  <c r="J246" i="1"/>
  <c r="I345" i="1"/>
  <c r="P314" i="10"/>
  <c r="M312" i="10"/>
  <c r="L74" i="1"/>
  <c r="O74" i="1" s="1"/>
  <c r="I81" i="1"/>
  <c r="I109" i="1"/>
  <c r="I117" i="1"/>
  <c r="I201" i="1"/>
  <c r="I213" i="1"/>
  <c r="I229" i="1"/>
  <c r="I346" i="1"/>
  <c r="K346" i="1" s="1"/>
  <c r="L352" i="1"/>
  <c r="I425" i="1"/>
  <c r="K425" i="1" s="1"/>
  <c r="L436" i="1"/>
  <c r="O436" i="1" s="1"/>
  <c r="I486" i="1"/>
  <c r="K486" i="1" s="1"/>
  <c r="I507" i="1"/>
  <c r="K507" i="1" s="1"/>
  <c r="J174" i="1"/>
  <c r="N533" i="1"/>
  <c r="L648" i="1"/>
  <c r="N671" i="1"/>
  <c r="J160" i="1"/>
  <c r="K173" i="3"/>
  <c r="L275" i="3"/>
  <c r="K419" i="3"/>
  <c r="K425" i="3"/>
  <c r="K455" i="3"/>
  <c r="K597" i="3"/>
  <c r="N443" i="1"/>
  <c r="J449" i="1"/>
  <c r="J509" i="1"/>
  <c r="I158" i="1"/>
  <c r="K158" i="1" s="1"/>
  <c r="J172" i="1"/>
  <c r="J176" i="1"/>
  <c r="J185" i="1"/>
  <c r="P57" i="6"/>
  <c r="M55" i="6"/>
  <c r="M53" i="6" s="1"/>
  <c r="P333" i="12"/>
  <c r="N331" i="12"/>
  <c r="N329" i="12" s="1"/>
  <c r="P122" i="1"/>
  <c r="M224" i="1"/>
  <c r="I266" i="1"/>
  <c r="L456" i="1"/>
  <c r="O456" i="1" s="1"/>
  <c r="I476" i="1"/>
  <c r="K476" i="1" s="1"/>
  <c r="I501" i="1"/>
  <c r="K501" i="1" s="1"/>
  <c r="I560" i="1"/>
  <c r="K560" i="1" s="1"/>
  <c r="I594" i="1"/>
  <c r="K594" i="1" s="1"/>
  <c r="I651" i="1"/>
  <c r="K651" i="1" s="1"/>
  <c r="J677" i="1"/>
  <c r="K201" i="2"/>
  <c r="J486" i="1"/>
  <c r="N349" i="1"/>
  <c r="I83" i="1"/>
  <c r="I92" i="1"/>
  <c r="K92" i="1" s="1"/>
  <c r="I112" i="1"/>
  <c r="K112" i="1" s="1"/>
  <c r="L126" i="1"/>
  <c r="O126" i="1" s="1"/>
  <c r="I204" i="1"/>
  <c r="K204" i="1" s="1"/>
  <c r="L349" i="1"/>
  <c r="I468" i="1"/>
  <c r="K468" i="1" s="1"/>
  <c r="I488" i="1"/>
  <c r="K488" i="1" s="1"/>
  <c r="I510" i="1"/>
  <c r="K510" i="1" s="1"/>
  <c r="L567" i="1"/>
  <c r="O567" i="1" s="1"/>
  <c r="N55" i="2"/>
  <c r="N53" i="2" s="1"/>
  <c r="P53" i="2" s="1"/>
  <c r="L333" i="2"/>
  <c r="L331" i="2" s="1"/>
  <c r="L329" i="2" s="1"/>
  <c r="K110" i="3"/>
  <c r="K466" i="3"/>
  <c r="J469" i="1"/>
  <c r="N96" i="4"/>
  <c r="N94" i="4" s="1"/>
  <c r="J451" i="1"/>
  <c r="J455" i="1"/>
  <c r="K455" i="1" s="1"/>
  <c r="N457" i="1"/>
  <c r="N461" i="1"/>
  <c r="J465" i="1"/>
  <c r="J468" i="1"/>
  <c r="J471" i="1"/>
  <c r="J474" i="1"/>
  <c r="J551" i="1"/>
  <c r="J561" i="1"/>
  <c r="N565" i="1"/>
  <c r="N70" i="1"/>
  <c r="I235" i="1"/>
  <c r="L315" i="1"/>
  <c r="L457" i="1"/>
  <c r="I477" i="1"/>
  <c r="K477" i="1" s="1"/>
  <c r="K589" i="1"/>
  <c r="K138" i="2"/>
  <c r="O380" i="2"/>
  <c r="O383" i="2"/>
  <c r="K398" i="2"/>
  <c r="O401" i="2"/>
  <c r="O404" i="2"/>
  <c r="K418" i="2"/>
  <c r="K430" i="2"/>
  <c r="J433" i="1"/>
  <c r="O439" i="2"/>
  <c r="J445" i="1"/>
  <c r="K450" i="2"/>
  <c r="J453" i="1"/>
  <c r="K464" i="2"/>
  <c r="N537" i="1"/>
  <c r="J544" i="1"/>
  <c r="N551" i="1"/>
  <c r="J580" i="1"/>
  <c r="N586" i="1"/>
  <c r="K149" i="3"/>
  <c r="K176" i="3"/>
  <c r="N353" i="1"/>
  <c r="K418" i="3"/>
  <c r="K421" i="3"/>
  <c r="K424" i="3"/>
  <c r="K427" i="3"/>
  <c r="K430" i="3"/>
  <c r="K498" i="3"/>
  <c r="K573" i="3"/>
  <c r="J511" i="1"/>
  <c r="P312" i="11"/>
  <c r="M310" i="11"/>
  <c r="P310" i="11" s="1"/>
  <c r="K597" i="13"/>
  <c r="M273" i="4"/>
  <c r="P273" i="4" s="1"/>
  <c r="J326" i="1"/>
  <c r="K341" i="4"/>
  <c r="K149" i="5"/>
  <c r="K213" i="5"/>
  <c r="K341" i="5"/>
  <c r="N252" i="6"/>
  <c r="N250" i="6" s="1"/>
  <c r="K455" i="6"/>
  <c r="O457" i="6"/>
  <c r="J488" i="1"/>
  <c r="K420" i="7"/>
  <c r="O457" i="7"/>
  <c r="O601" i="7"/>
  <c r="K132" i="8"/>
  <c r="K149" i="8"/>
  <c r="L45" i="9"/>
  <c r="L43" i="9" s="1"/>
  <c r="L41" i="9" s="1"/>
  <c r="K149" i="9"/>
  <c r="K199" i="9"/>
  <c r="K619" i="9"/>
  <c r="K622" i="9"/>
  <c r="P45" i="11"/>
  <c r="N55" i="11"/>
  <c r="N53" i="11" s="1"/>
  <c r="J608" i="1"/>
  <c r="K631" i="12"/>
  <c r="J634" i="1"/>
  <c r="L45" i="13"/>
  <c r="L43" i="13" s="1"/>
  <c r="N96" i="13"/>
  <c r="N94" i="13" s="1"/>
  <c r="K186" i="13"/>
  <c r="K402" i="13"/>
  <c r="K416" i="13"/>
  <c r="K497" i="13"/>
  <c r="K133" i="14"/>
  <c r="K158" i="14"/>
  <c r="K164" i="14"/>
  <c r="K285" i="14"/>
  <c r="J415" i="1"/>
  <c r="J418" i="1"/>
  <c r="J421" i="1"/>
  <c r="J430" i="1"/>
  <c r="J434" i="1"/>
  <c r="K473" i="4"/>
  <c r="J665" i="1"/>
  <c r="N292" i="5"/>
  <c r="N290" i="5" s="1"/>
  <c r="N312" i="5"/>
  <c r="N310" i="5" s="1"/>
  <c r="O406" i="5"/>
  <c r="L98" i="6"/>
  <c r="O98" i="6" s="1"/>
  <c r="I474" i="1"/>
  <c r="K474" i="1" s="1"/>
  <c r="K533" i="6"/>
  <c r="K465" i="9"/>
  <c r="L55" i="10"/>
  <c r="M68" i="10"/>
  <c r="M96" i="10"/>
  <c r="P96" i="10" s="1"/>
  <c r="L314" i="10"/>
  <c r="K377" i="10"/>
  <c r="J494" i="1"/>
  <c r="J610" i="1"/>
  <c r="J616" i="1"/>
  <c r="M96" i="11"/>
  <c r="P96" i="11" s="1"/>
  <c r="O380" i="12"/>
  <c r="O383" i="12"/>
  <c r="K597" i="12"/>
  <c r="N331" i="13"/>
  <c r="N329" i="13" s="1"/>
  <c r="O329" i="13" s="1"/>
  <c r="J651" i="13"/>
  <c r="N292" i="14"/>
  <c r="N290" i="14" s="1"/>
  <c r="K397" i="14"/>
  <c r="K401" i="14"/>
  <c r="O406" i="14"/>
  <c r="K449" i="14"/>
  <c r="O455" i="14"/>
  <c r="K466" i="14"/>
  <c r="O601" i="14"/>
  <c r="K628" i="14"/>
  <c r="K631" i="14"/>
  <c r="K634" i="14"/>
  <c r="L275" i="15"/>
  <c r="O275" i="15" s="1"/>
  <c r="K289" i="15"/>
  <c r="O568" i="15"/>
  <c r="K173" i="4"/>
  <c r="K200" i="4"/>
  <c r="L294" i="4"/>
  <c r="O294" i="4" s="1"/>
  <c r="J303" i="1"/>
  <c r="L405" i="1"/>
  <c r="O405" i="1" s="1"/>
  <c r="K499" i="4"/>
  <c r="K547" i="4"/>
  <c r="L314" i="5"/>
  <c r="O314" i="5" s="1"/>
  <c r="J508" i="1"/>
  <c r="J656" i="1"/>
  <c r="N68" i="6"/>
  <c r="K449" i="6"/>
  <c r="K368" i="7"/>
  <c r="O383" i="7"/>
  <c r="P70" i="8"/>
  <c r="O597" i="12"/>
  <c r="O582" i="13"/>
  <c r="L314" i="14"/>
  <c r="O314" i="14" s="1"/>
  <c r="N312" i="15"/>
  <c r="N310" i="15" s="1"/>
  <c r="J281" i="1"/>
  <c r="J286" i="1"/>
  <c r="K349" i="4"/>
  <c r="O354" i="4"/>
  <c r="J496" i="1"/>
  <c r="O404" i="5"/>
  <c r="I614" i="1"/>
  <c r="L68" i="8"/>
  <c r="L66" i="8" s="1"/>
  <c r="O66" i="8" s="1"/>
  <c r="O599" i="8"/>
  <c r="N55" i="9"/>
  <c r="N53" i="9" s="1"/>
  <c r="K398" i="9"/>
  <c r="O401" i="9"/>
  <c r="O439" i="9"/>
  <c r="O537" i="9"/>
  <c r="K626" i="9"/>
  <c r="K235" i="10"/>
  <c r="N273" i="10"/>
  <c r="N271" i="10" s="1"/>
  <c r="N292" i="10"/>
  <c r="K345" i="10"/>
  <c r="K349" i="10"/>
  <c r="O354" i="10"/>
  <c r="L98" i="12"/>
  <c r="P144" i="12"/>
  <c r="K173" i="12"/>
  <c r="K372" i="12"/>
  <c r="K189" i="13"/>
  <c r="K449" i="13"/>
  <c r="K466" i="13"/>
  <c r="N273" i="14"/>
  <c r="N271" i="14" s="1"/>
  <c r="K345" i="14"/>
  <c r="K629" i="14"/>
  <c r="K635" i="14"/>
  <c r="P314" i="15"/>
  <c r="K597" i="15"/>
  <c r="K629" i="15"/>
  <c r="K635" i="15"/>
  <c r="P102" i="4"/>
  <c r="K265" i="4"/>
  <c r="O406" i="4"/>
  <c r="O435" i="4"/>
  <c r="K497" i="4"/>
  <c r="J517" i="1"/>
  <c r="J523" i="1"/>
  <c r="J529" i="1"/>
  <c r="N534" i="1"/>
  <c r="P45" i="5"/>
  <c r="K108" i="5"/>
  <c r="K229" i="5"/>
  <c r="K611" i="5"/>
  <c r="L294" i="6"/>
  <c r="L292" i="6" s="1"/>
  <c r="O292" i="6" s="1"/>
  <c r="K418" i="6"/>
  <c r="O459" i="6"/>
  <c r="K464" i="6"/>
  <c r="K597" i="6"/>
  <c r="O599" i="6"/>
  <c r="L57" i="7"/>
  <c r="L55" i="7" s="1"/>
  <c r="L53" i="7" s="1"/>
  <c r="K372" i="7"/>
  <c r="K381" i="7"/>
  <c r="K422" i="7"/>
  <c r="K428" i="7"/>
  <c r="K450" i="7"/>
  <c r="P45" i="8"/>
  <c r="L294" i="8"/>
  <c r="O294" i="8" s="1"/>
  <c r="K473" i="9"/>
  <c r="K497" i="9"/>
  <c r="K564" i="9"/>
  <c r="O566" i="9"/>
  <c r="K631" i="9"/>
  <c r="L144" i="10"/>
  <c r="O144" i="10" s="1"/>
  <c r="K423" i="10"/>
  <c r="K432" i="10"/>
  <c r="O435" i="10"/>
  <c r="O568" i="10"/>
  <c r="N252" i="11"/>
  <c r="N250" i="11" s="1"/>
  <c r="L294" i="11"/>
  <c r="L292" i="11" s="1"/>
  <c r="N312" i="11"/>
  <c r="N310" i="11" s="1"/>
  <c r="K623" i="11"/>
  <c r="K92" i="12"/>
  <c r="L144" i="12"/>
  <c r="K200" i="12"/>
  <c r="K416" i="12"/>
  <c r="K422" i="12"/>
  <c r="K435" i="12"/>
  <c r="O437" i="12"/>
  <c r="O457" i="12"/>
  <c r="P45" i="13"/>
  <c r="K149" i="13"/>
  <c r="K424" i="13"/>
  <c r="K430" i="13"/>
  <c r="K564" i="13"/>
  <c r="O566" i="13"/>
  <c r="O580" i="13"/>
  <c r="L275" i="14"/>
  <c r="O275" i="14" s="1"/>
  <c r="N31" i="14"/>
  <c r="O564" i="14"/>
  <c r="K266" i="15"/>
  <c r="O439" i="15"/>
  <c r="K464" i="15"/>
  <c r="K473" i="15"/>
  <c r="K482" i="15"/>
  <c r="K497" i="15"/>
  <c r="K533" i="15"/>
  <c r="K650" i="2"/>
  <c r="I650" i="1"/>
  <c r="K650" i="1" s="1"/>
  <c r="I82" i="1"/>
  <c r="M43" i="2"/>
  <c r="P45" i="2"/>
  <c r="N120" i="3"/>
  <c r="P122" i="3"/>
  <c r="L597" i="1"/>
  <c r="O597" i="6"/>
  <c r="I342" i="1"/>
  <c r="K342" i="1" s="1"/>
  <c r="K416" i="1"/>
  <c r="P98" i="2"/>
  <c r="M96" i="2"/>
  <c r="K613" i="10"/>
  <c r="J613" i="1"/>
  <c r="K619" i="10"/>
  <c r="J619" i="1"/>
  <c r="M144" i="1"/>
  <c r="P144" i="1" s="1"/>
  <c r="I494" i="1"/>
  <c r="K494" i="1" s="1"/>
  <c r="K470" i="2"/>
  <c r="I470" i="1"/>
  <c r="K470" i="1" s="1"/>
  <c r="K479" i="2"/>
  <c r="I479" i="1"/>
  <c r="K479" i="1" s="1"/>
  <c r="K485" i="2"/>
  <c r="I485" i="1"/>
  <c r="K485" i="1" s="1"/>
  <c r="K491" i="2"/>
  <c r="I491" i="1"/>
  <c r="K491" i="1" s="1"/>
  <c r="K500" i="2"/>
  <c r="I500" i="1"/>
  <c r="K500" i="1" s="1"/>
  <c r="K506" i="2"/>
  <c r="I506" i="1"/>
  <c r="K506" i="1" s="1"/>
  <c r="K509" i="2"/>
  <c r="I509" i="1"/>
  <c r="K509" i="1" s="1"/>
  <c r="K512" i="2"/>
  <c r="I512" i="1"/>
  <c r="K512" i="1" s="1"/>
  <c r="K515" i="2"/>
  <c r="I515" i="1"/>
  <c r="K515" i="1" s="1"/>
  <c r="K533" i="2"/>
  <c r="I533" i="1"/>
  <c r="N582" i="1"/>
  <c r="N357" i="1"/>
  <c r="J364" i="1"/>
  <c r="P122" i="4"/>
  <c r="M22" i="4"/>
  <c r="M12" i="4" s="1"/>
  <c r="O661" i="5"/>
  <c r="L661" i="1"/>
  <c r="O661" i="1" s="1"/>
  <c r="I339" i="1"/>
  <c r="K339" i="1" s="1"/>
  <c r="N661" i="1"/>
  <c r="L566" i="1"/>
  <c r="K593" i="4"/>
  <c r="I593" i="1"/>
  <c r="N292" i="6"/>
  <c r="N290" i="6" s="1"/>
  <c r="I85" i="1"/>
  <c r="K189" i="1"/>
  <c r="I497" i="1"/>
  <c r="K497" i="1" s="1"/>
  <c r="P252" i="2"/>
  <c r="M250" i="2"/>
  <c r="P250" i="2" s="1"/>
  <c r="O651" i="2"/>
  <c r="L651" i="1"/>
  <c r="O651" i="1" s="1"/>
  <c r="J651" i="2"/>
  <c r="J657" i="1"/>
  <c r="O668" i="2"/>
  <c r="L668" i="1"/>
  <c r="O668" i="1" s="1"/>
  <c r="O671" i="2"/>
  <c r="L671" i="1"/>
  <c r="O671" i="1" s="1"/>
  <c r="J199" i="1"/>
  <c r="K199" i="1" s="1"/>
  <c r="J212" i="1"/>
  <c r="J216" i="1"/>
  <c r="L256" i="1"/>
  <c r="L537" i="1"/>
  <c r="J543" i="1"/>
  <c r="O580" i="3"/>
  <c r="L580" i="1"/>
  <c r="K591" i="3"/>
  <c r="I591" i="1"/>
  <c r="K483" i="5"/>
  <c r="I483" i="1"/>
  <c r="K483" i="1" s="1"/>
  <c r="I495" i="1"/>
  <c r="K495" i="1" s="1"/>
  <c r="K495" i="5"/>
  <c r="K573" i="6"/>
  <c r="I573" i="1"/>
  <c r="K573" i="1" s="1"/>
  <c r="K577" i="6"/>
  <c r="I577" i="1"/>
  <c r="K577" i="1" s="1"/>
  <c r="N43" i="2"/>
  <c r="N41" i="2" s="1"/>
  <c r="J323" i="1"/>
  <c r="J607" i="1"/>
  <c r="I612" i="1"/>
  <c r="I615" i="1"/>
  <c r="I618" i="1"/>
  <c r="I621" i="1"/>
  <c r="I624" i="1"/>
  <c r="I628" i="1"/>
  <c r="I631" i="1"/>
  <c r="K631" i="1" s="1"/>
  <c r="I634" i="1"/>
  <c r="N648" i="1"/>
  <c r="J650" i="1"/>
  <c r="N651" i="1"/>
  <c r="J658" i="1"/>
  <c r="J662" i="1"/>
  <c r="N665" i="1"/>
  <c r="N668" i="1"/>
  <c r="P140" i="3"/>
  <c r="O404" i="3"/>
  <c r="K482" i="3"/>
  <c r="J564" i="1"/>
  <c r="O566" i="3"/>
  <c r="J575" i="1"/>
  <c r="J649" i="1"/>
  <c r="K110" i="4"/>
  <c r="K401" i="4"/>
  <c r="K422" i="4"/>
  <c r="K425" i="4"/>
  <c r="K428" i="4"/>
  <c r="K431" i="4"/>
  <c r="K435" i="4"/>
  <c r="O439" i="4"/>
  <c r="I521" i="1"/>
  <c r="I527" i="1"/>
  <c r="I530" i="1"/>
  <c r="O535" i="4"/>
  <c r="N554" i="1"/>
  <c r="L144" i="5"/>
  <c r="L142" i="5" s="1"/>
  <c r="K173" i="5"/>
  <c r="K449" i="5"/>
  <c r="K466" i="5"/>
  <c r="O566" i="5"/>
  <c r="L224" i="6"/>
  <c r="O224" i="6" s="1"/>
  <c r="K381" i="6"/>
  <c r="K564" i="6"/>
  <c r="O566" i="6"/>
  <c r="J666" i="1"/>
  <c r="J106" i="1"/>
  <c r="K164" i="2"/>
  <c r="K173" i="2"/>
  <c r="K199" i="2"/>
  <c r="N31" i="2"/>
  <c r="N29" i="2" s="1"/>
  <c r="J591" i="1"/>
  <c r="J594" i="1"/>
  <c r="N598" i="1"/>
  <c r="N68" i="3"/>
  <c r="L122" i="3"/>
  <c r="L120" i="3" s="1"/>
  <c r="L118" i="3" s="1"/>
  <c r="P294" i="3"/>
  <c r="O439" i="3"/>
  <c r="K464" i="3"/>
  <c r="I635" i="1"/>
  <c r="K635" i="1" s="1"/>
  <c r="L45" i="4"/>
  <c r="L43" i="4" s="1"/>
  <c r="K350" i="4"/>
  <c r="K368" i="4"/>
  <c r="N650" i="1"/>
  <c r="J672" i="1"/>
  <c r="N120" i="5"/>
  <c r="N118" i="5" s="1"/>
  <c r="O333" i="5"/>
  <c r="J592" i="1"/>
  <c r="J596" i="1"/>
  <c r="J612" i="1"/>
  <c r="J615" i="1"/>
  <c r="J618" i="1"/>
  <c r="J621" i="1"/>
  <c r="J624" i="1"/>
  <c r="J628" i="1"/>
  <c r="J647" i="1"/>
  <c r="J660" i="1"/>
  <c r="J663" i="1"/>
  <c r="L45" i="7"/>
  <c r="P68" i="11"/>
  <c r="M66" i="11"/>
  <c r="P66" i="11" s="1"/>
  <c r="P252" i="11"/>
  <c r="M250" i="11"/>
  <c r="P250" i="11" s="1"/>
  <c r="N644" i="12"/>
  <c r="N640" i="12" s="1"/>
  <c r="N638" i="12" s="1"/>
  <c r="N636" i="12" s="1"/>
  <c r="P254" i="15"/>
  <c r="M252" i="15"/>
  <c r="P57" i="2"/>
  <c r="K64" i="2"/>
  <c r="N252" i="2"/>
  <c r="N250" i="2" s="1"/>
  <c r="O298" i="2"/>
  <c r="K304" i="2"/>
  <c r="K309" i="2"/>
  <c r="K547" i="2"/>
  <c r="K629" i="2"/>
  <c r="P254" i="3"/>
  <c r="K265" i="3"/>
  <c r="K285" i="3"/>
  <c r="O352" i="3"/>
  <c r="K497" i="3"/>
  <c r="J622" i="1"/>
  <c r="J625" i="1"/>
  <c r="K108" i="4"/>
  <c r="O533" i="4"/>
  <c r="P314" i="5"/>
  <c r="J524" i="1"/>
  <c r="J533" i="1"/>
  <c r="N552" i="1"/>
  <c r="J560" i="1"/>
  <c r="N572" i="1"/>
  <c r="J576" i="1"/>
  <c r="J579" i="1"/>
  <c r="L599" i="1"/>
  <c r="K634" i="5"/>
  <c r="L275" i="6"/>
  <c r="O275" i="6" s="1"/>
  <c r="K149" i="7"/>
  <c r="J578" i="1"/>
  <c r="N580" i="1"/>
  <c r="N462" i="1"/>
  <c r="I517" i="1"/>
  <c r="I520" i="1"/>
  <c r="I523" i="1"/>
  <c r="I526" i="1"/>
  <c r="I529" i="1"/>
  <c r="I532" i="1"/>
  <c r="N553" i="1"/>
  <c r="J597" i="1"/>
  <c r="K64" i="3"/>
  <c r="K108" i="3"/>
  <c r="K113" i="3"/>
  <c r="N331" i="3"/>
  <c r="N329" i="3" s="1"/>
  <c r="K341" i="3"/>
  <c r="N382" i="1"/>
  <c r="J392" i="1"/>
  <c r="N597" i="1"/>
  <c r="N604" i="1"/>
  <c r="I617" i="1"/>
  <c r="P254" i="4"/>
  <c r="N292" i="4"/>
  <c r="N290" i="4" s="1"/>
  <c r="I623" i="1"/>
  <c r="I626" i="1"/>
  <c r="I630" i="1"/>
  <c r="K630" i="1" s="1"/>
  <c r="J648" i="1"/>
  <c r="N273" i="5"/>
  <c r="K473" i="5"/>
  <c r="M292" i="6"/>
  <c r="N29" i="14"/>
  <c r="N11" i="14"/>
  <c r="N9" i="14" s="1"/>
  <c r="I381" i="1"/>
  <c r="K381" i="1" s="1"/>
  <c r="N387" i="1"/>
  <c r="J398" i="1"/>
  <c r="N401" i="1"/>
  <c r="K65" i="2"/>
  <c r="K81" i="2"/>
  <c r="J161" i="1"/>
  <c r="J170" i="1"/>
  <c r="L224" i="2"/>
  <c r="L222" i="2" s="1"/>
  <c r="L254" i="2"/>
  <c r="J289" i="1"/>
  <c r="O347" i="2"/>
  <c r="N435" i="1"/>
  <c r="N458" i="1"/>
  <c r="O537" i="2"/>
  <c r="O582" i="2"/>
  <c r="J668" i="1"/>
  <c r="K111" i="3"/>
  <c r="P275" i="3"/>
  <c r="P333" i="3"/>
  <c r="O347" i="3"/>
  <c r="K368" i="3"/>
  <c r="K377" i="3"/>
  <c r="O380" i="3"/>
  <c r="K417" i="3"/>
  <c r="K420" i="3"/>
  <c r="K423" i="3"/>
  <c r="K426" i="3"/>
  <c r="K429" i="3"/>
  <c r="K432" i="3"/>
  <c r="K449" i="3"/>
  <c r="O568" i="3"/>
  <c r="L70" i="4"/>
  <c r="L68" i="4" s="1"/>
  <c r="O68" i="4" s="1"/>
  <c r="K92" i="4"/>
  <c r="N222" i="4"/>
  <c r="N220" i="4" s="1"/>
  <c r="L254" i="4"/>
  <c r="L252" i="4" s="1"/>
  <c r="K340" i="4"/>
  <c r="O349" i="4"/>
  <c r="K449" i="4"/>
  <c r="J614" i="1"/>
  <c r="N68" i="5"/>
  <c r="N66" i="5" s="1"/>
  <c r="K109" i="5"/>
  <c r="K235" i="5"/>
  <c r="P333" i="5"/>
  <c r="K422" i="5"/>
  <c r="K428" i="5"/>
  <c r="K435" i="5"/>
  <c r="K474" i="5"/>
  <c r="O582" i="5"/>
  <c r="L57" i="6"/>
  <c r="N120" i="6"/>
  <c r="N118" i="6" s="1"/>
  <c r="K189" i="6"/>
  <c r="K199" i="6"/>
  <c r="K625" i="6"/>
  <c r="K630" i="6"/>
  <c r="L122" i="7"/>
  <c r="N222" i="7"/>
  <c r="N220" i="7" s="1"/>
  <c r="P144" i="9"/>
  <c r="M142" i="9"/>
  <c r="M140" i="9" s="1"/>
  <c r="M292" i="13"/>
  <c r="M290" i="13" s="1"/>
  <c r="P294" i="13"/>
  <c r="P144" i="14"/>
  <c r="M142" i="14"/>
  <c r="N26" i="15"/>
  <c r="N16" i="15" s="1"/>
  <c r="N142" i="15"/>
  <c r="P142" i="15" s="1"/>
  <c r="K430" i="7"/>
  <c r="O537" i="7"/>
  <c r="K533" i="8"/>
  <c r="K88" i="9"/>
  <c r="K158" i="9"/>
  <c r="L254" i="9"/>
  <c r="L252" i="9" s="1"/>
  <c r="O349" i="9"/>
  <c r="K421" i="9"/>
  <c r="K427" i="9"/>
  <c r="O49" i="10"/>
  <c r="N142" i="10"/>
  <c r="K429" i="10"/>
  <c r="P70" i="11"/>
  <c r="N222" i="11"/>
  <c r="N220" i="11" s="1"/>
  <c r="P254" i="11"/>
  <c r="K396" i="11"/>
  <c r="K402" i="11"/>
  <c r="O599" i="11"/>
  <c r="K350" i="12"/>
  <c r="K629" i="12"/>
  <c r="K219" i="13"/>
  <c r="P224" i="13"/>
  <c r="N252" i="13"/>
  <c r="N250" i="13" s="1"/>
  <c r="N312" i="13"/>
  <c r="N310" i="13" s="1"/>
  <c r="O349" i="13"/>
  <c r="N33" i="13"/>
  <c r="N13" i="13" s="1"/>
  <c r="K593" i="13"/>
  <c r="N26" i="14"/>
  <c r="N16" i="14" s="1"/>
  <c r="L57" i="14"/>
  <c r="L55" i="14" s="1"/>
  <c r="L53" i="14" s="1"/>
  <c r="I367" i="14"/>
  <c r="K367" i="14" s="1"/>
  <c r="K597" i="14"/>
  <c r="K350" i="15"/>
  <c r="L32" i="15"/>
  <c r="O537" i="15"/>
  <c r="K564" i="15"/>
  <c r="K634" i="15"/>
  <c r="N273" i="7"/>
  <c r="N271" i="7" s="1"/>
  <c r="O380" i="7"/>
  <c r="K398" i="7"/>
  <c r="K425" i="7"/>
  <c r="N120" i="8"/>
  <c r="N118" i="8" s="1"/>
  <c r="K200" i="8"/>
  <c r="O564" i="8"/>
  <c r="N96" i="9"/>
  <c r="N94" i="9" s="1"/>
  <c r="L275" i="10"/>
  <c r="K381" i="10"/>
  <c r="K396" i="10"/>
  <c r="K402" i="10"/>
  <c r="K421" i="10"/>
  <c r="K427" i="10"/>
  <c r="K430" i="10"/>
  <c r="O439" i="10"/>
  <c r="K450" i="10"/>
  <c r="N331" i="11"/>
  <c r="K625" i="11"/>
  <c r="N68" i="12"/>
  <c r="N66" i="12" s="1"/>
  <c r="N273" i="12"/>
  <c r="N271" i="12" s="1"/>
  <c r="O533" i="12"/>
  <c r="K341" i="13"/>
  <c r="K368" i="13"/>
  <c r="O439" i="13"/>
  <c r="K450" i="13"/>
  <c r="K499" i="13"/>
  <c r="P333" i="14"/>
  <c r="K455" i="14"/>
  <c r="N68" i="15"/>
  <c r="N66" i="15" s="1"/>
  <c r="L275" i="7"/>
  <c r="K455" i="7"/>
  <c r="K624" i="8"/>
  <c r="L122" i="9"/>
  <c r="O122" i="9" s="1"/>
  <c r="L144" i="9"/>
  <c r="N292" i="9"/>
  <c r="N290" i="9" s="1"/>
  <c r="K341" i="9"/>
  <c r="O347" i="9"/>
  <c r="O437" i="9"/>
  <c r="K464" i="9"/>
  <c r="O535" i="9"/>
  <c r="K589" i="9"/>
  <c r="K595" i="9"/>
  <c r="K158" i="10"/>
  <c r="K401" i="11"/>
  <c r="K419" i="11"/>
  <c r="K425" i="11"/>
  <c r="K431" i="11"/>
  <c r="N32" i="11"/>
  <c r="N30" i="11" s="1"/>
  <c r="O568" i="11"/>
  <c r="J651" i="11"/>
  <c r="K345" i="12"/>
  <c r="K349" i="12"/>
  <c r="O354" i="12"/>
  <c r="K421" i="12"/>
  <c r="N120" i="13"/>
  <c r="N118" i="13" s="1"/>
  <c r="K591" i="13"/>
  <c r="J671" i="13"/>
  <c r="N68" i="14"/>
  <c r="N66" i="14" s="1"/>
  <c r="N331" i="14"/>
  <c r="N329" i="14" s="1"/>
  <c r="O597" i="14"/>
  <c r="O298" i="15"/>
  <c r="K402" i="15"/>
  <c r="K419" i="15"/>
  <c r="N252" i="7"/>
  <c r="N250" i="7" s="1"/>
  <c r="K426" i="7"/>
  <c r="N68" i="8"/>
  <c r="N66" i="8" s="1"/>
  <c r="N96" i="8"/>
  <c r="N94" i="8" s="1"/>
  <c r="L275" i="8"/>
  <c r="L333" i="8"/>
  <c r="L331" i="8" s="1"/>
  <c r="L329" i="8" s="1"/>
  <c r="K370" i="8"/>
  <c r="K397" i="8"/>
  <c r="K449" i="8"/>
  <c r="O455" i="8"/>
  <c r="K614" i="8"/>
  <c r="K622" i="8"/>
  <c r="K629" i="8"/>
  <c r="L70" i="9"/>
  <c r="L68" i="9" s="1"/>
  <c r="K92" i="9"/>
  <c r="O601" i="9"/>
  <c r="K620" i="9"/>
  <c r="L45" i="10"/>
  <c r="O45" i="10" s="1"/>
  <c r="P333" i="10"/>
  <c r="K380" i="10"/>
  <c r="K425" i="10"/>
  <c r="K431" i="10"/>
  <c r="L144" i="11"/>
  <c r="N222" i="12"/>
  <c r="N220" i="12" s="1"/>
  <c r="O537" i="12"/>
  <c r="P122" i="13"/>
  <c r="K133" i="13"/>
  <c r="L275" i="13"/>
  <c r="L273" i="13" s="1"/>
  <c r="K289" i="13"/>
  <c r="K345" i="13"/>
  <c r="O354" i="13"/>
  <c r="O457" i="13"/>
  <c r="N34" i="13"/>
  <c r="N14" i="13" s="1"/>
  <c r="K473" i="13"/>
  <c r="K629" i="13"/>
  <c r="K635" i="13"/>
  <c r="L122" i="14"/>
  <c r="L333" i="14"/>
  <c r="O333" i="14" s="1"/>
  <c r="K429" i="14"/>
  <c r="O537" i="14"/>
  <c r="M298" i="15"/>
  <c r="P298" i="15" s="1"/>
  <c r="K381" i="15"/>
  <c r="O437" i="15"/>
  <c r="K455" i="15"/>
  <c r="O533" i="15"/>
  <c r="N33" i="15"/>
  <c r="N13" i="15" s="1"/>
  <c r="K619" i="15"/>
  <c r="N312" i="7"/>
  <c r="N310" i="7" s="1"/>
  <c r="I619" i="1"/>
  <c r="K629" i="7"/>
  <c r="K632" i="7"/>
  <c r="K635" i="7"/>
  <c r="P57" i="8"/>
  <c r="L98" i="8"/>
  <c r="O98" i="8" s="1"/>
  <c r="P144" i="8"/>
  <c r="O224" i="8"/>
  <c r="N222" i="8"/>
  <c r="N220" i="8" s="1"/>
  <c r="K368" i="8"/>
  <c r="K466" i="8"/>
  <c r="K481" i="8"/>
  <c r="K499" i="8"/>
  <c r="K620" i="8"/>
  <c r="O102" i="9"/>
  <c r="K108" i="9"/>
  <c r="N142" i="9"/>
  <c r="K380" i="9"/>
  <c r="O385" i="9"/>
  <c r="K397" i="9"/>
  <c r="K455" i="9"/>
  <c r="K630" i="9"/>
  <c r="L122" i="10"/>
  <c r="O122" i="10" s="1"/>
  <c r="L224" i="10"/>
  <c r="O224" i="10" s="1"/>
  <c r="K420" i="10"/>
  <c r="O537" i="10"/>
  <c r="K564" i="10"/>
  <c r="O566" i="10"/>
  <c r="L122" i="11"/>
  <c r="K341" i="11"/>
  <c r="O347" i="11"/>
  <c r="O380" i="11"/>
  <c r="O383" i="11"/>
  <c r="O404" i="11"/>
  <c r="K423" i="11"/>
  <c r="K429" i="11"/>
  <c r="K620" i="11"/>
  <c r="K622" i="11"/>
  <c r="K624" i="11"/>
  <c r="L45" i="12"/>
  <c r="L43" i="12" s="1"/>
  <c r="M68" i="12"/>
  <c r="L333" i="12"/>
  <c r="L331" i="12" s="1"/>
  <c r="O349" i="12"/>
  <c r="K428" i="12"/>
  <c r="K634" i="12"/>
  <c r="K304" i="13"/>
  <c r="N31" i="13"/>
  <c r="N11" i="13" s="1"/>
  <c r="N9" i="13" s="1"/>
  <c r="K376" i="13"/>
  <c r="O406" i="13"/>
  <c r="K465" i="13"/>
  <c r="K474" i="13"/>
  <c r="L24" i="14"/>
  <c r="K343" i="14"/>
  <c r="K418" i="14"/>
  <c r="K430" i="14"/>
  <c r="O439" i="14"/>
  <c r="P294" i="15"/>
  <c r="L333" i="15"/>
  <c r="O333" i="15" s="1"/>
  <c r="N34" i="15"/>
  <c r="K370" i="15"/>
  <c r="K376" i="15"/>
  <c r="O385" i="15"/>
  <c r="K397" i="15"/>
  <c r="K401" i="15"/>
  <c r="O406" i="15"/>
  <c r="K417" i="15"/>
  <c r="K573" i="15"/>
  <c r="O597" i="15"/>
  <c r="K630" i="15"/>
  <c r="O601" i="4"/>
  <c r="L601" i="1"/>
  <c r="N34" i="14"/>
  <c r="N14" i="14" s="1"/>
  <c r="O459" i="14"/>
  <c r="K369" i="2"/>
  <c r="I367" i="2"/>
  <c r="K367" i="2" s="1"/>
  <c r="I564" i="1"/>
  <c r="O354" i="2"/>
  <c r="L34" i="2"/>
  <c r="N588" i="1"/>
  <c r="N601" i="1"/>
  <c r="O601" i="2"/>
  <c r="I341" i="1"/>
  <c r="K377" i="1"/>
  <c r="K432" i="1"/>
  <c r="N438" i="1"/>
  <c r="K449" i="1"/>
  <c r="L555" i="1"/>
  <c r="O555" i="1" s="1"/>
  <c r="I590" i="1"/>
  <c r="K590" i="1" s="1"/>
  <c r="J264" i="1"/>
  <c r="K264" i="1" s="1"/>
  <c r="N273" i="2"/>
  <c r="N271" i="2" s="1"/>
  <c r="N32" i="2"/>
  <c r="N30" i="2" s="1"/>
  <c r="L584" i="1"/>
  <c r="O584" i="2"/>
  <c r="O122" i="3"/>
  <c r="O555" i="3"/>
  <c r="L34" i="3"/>
  <c r="L14" i="3" s="1"/>
  <c r="K632" i="3"/>
  <c r="I632" i="1"/>
  <c r="K632" i="1" s="1"/>
  <c r="O650" i="5"/>
  <c r="L640" i="5"/>
  <c r="O640" i="5" s="1"/>
  <c r="P292" i="10"/>
  <c r="M290" i="10"/>
  <c r="P290" i="10" s="1"/>
  <c r="L535" i="1"/>
  <c r="P122" i="2"/>
  <c r="N120" i="2"/>
  <c r="N118" i="2" s="1"/>
  <c r="P118" i="2" s="1"/>
  <c r="J343" i="1"/>
  <c r="K629" i="3"/>
  <c r="J629" i="1"/>
  <c r="L649" i="1"/>
  <c r="O649" i="4"/>
  <c r="N564" i="1"/>
  <c r="M68" i="3"/>
  <c r="M66" i="3" s="1"/>
  <c r="P70" i="3"/>
  <c r="L61" i="1"/>
  <c r="O61" i="1" s="1"/>
  <c r="N224" i="1"/>
  <c r="P224" i="1" s="1"/>
  <c r="I375" i="1"/>
  <c r="K375" i="1" s="1"/>
  <c r="O457" i="1"/>
  <c r="L23" i="2"/>
  <c r="O23" i="2" s="1"/>
  <c r="P70" i="2"/>
  <c r="M68" i="2"/>
  <c r="P68" i="2" s="1"/>
  <c r="J217" i="1"/>
  <c r="O333" i="3"/>
  <c r="L331" i="3"/>
  <c r="L329" i="3" s="1"/>
  <c r="N32" i="3"/>
  <c r="J477" i="1"/>
  <c r="K547" i="3"/>
  <c r="I547" i="1"/>
  <c r="K547" i="1" s="1"/>
  <c r="O582" i="3"/>
  <c r="L582" i="1"/>
  <c r="O582" i="1" s="1"/>
  <c r="N585" i="1"/>
  <c r="K618" i="3"/>
  <c r="I611" i="1"/>
  <c r="K617" i="1" s="1"/>
  <c r="K625" i="3"/>
  <c r="I620" i="1"/>
  <c r="K620" i="3"/>
  <c r="K633" i="4"/>
  <c r="I633" i="1"/>
  <c r="N55" i="1"/>
  <c r="N53" i="1" s="1"/>
  <c r="K85" i="1"/>
  <c r="I369" i="1"/>
  <c r="L435" i="1"/>
  <c r="I489" i="1"/>
  <c r="K489" i="1" s="1"/>
  <c r="N559" i="1"/>
  <c r="N570" i="1"/>
  <c r="L144" i="3"/>
  <c r="O144" i="3" s="1"/>
  <c r="I663" i="1"/>
  <c r="K663" i="1" s="1"/>
  <c r="K663" i="3"/>
  <c r="K551" i="7"/>
  <c r="I551" i="1"/>
  <c r="K551" i="1" s="1"/>
  <c r="P314" i="8"/>
  <c r="M312" i="8"/>
  <c r="P312" i="8" s="1"/>
  <c r="L45" i="2"/>
  <c r="J77" i="1"/>
  <c r="J81" i="1"/>
  <c r="K81" i="1" s="1"/>
  <c r="L123" i="1"/>
  <c r="J129" i="1"/>
  <c r="J133" i="1"/>
  <c r="J194" i="1"/>
  <c r="L337" i="1"/>
  <c r="K397" i="2"/>
  <c r="O564" i="2"/>
  <c r="K612" i="2"/>
  <c r="K615" i="2"/>
  <c r="K618" i="2"/>
  <c r="K628" i="2"/>
  <c r="K634" i="2"/>
  <c r="J646" i="1"/>
  <c r="J652" i="1"/>
  <c r="J659" i="1"/>
  <c r="K80" i="3"/>
  <c r="J90" i="1"/>
  <c r="J113" i="1"/>
  <c r="K264" i="3"/>
  <c r="J349" i="1"/>
  <c r="J412" i="1"/>
  <c r="J504" i="1"/>
  <c r="J510" i="1"/>
  <c r="J516" i="1"/>
  <c r="J519" i="1"/>
  <c r="J522" i="1"/>
  <c r="J525" i="1"/>
  <c r="J528" i="1"/>
  <c r="J531" i="1"/>
  <c r="O533" i="3"/>
  <c r="L564" i="1"/>
  <c r="J590" i="1"/>
  <c r="J593" i="1"/>
  <c r="N605" i="1"/>
  <c r="J611" i="1"/>
  <c r="J268" i="1"/>
  <c r="J361" i="1"/>
  <c r="N26" i="5"/>
  <c r="N16" i="5" s="1"/>
  <c r="O457" i="5"/>
  <c r="M68" i="7"/>
  <c r="P68" i="7" s="1"/>
  <c r="P70" i="7"/>
  <c r="K369" i="7"/>
  <c r="I367" i="7"/>
  <c r="K367" i="7" s="1"/>
  <c r="K419" i="7"/>
  <c r="O70" i="9"/>
  <c r="P70" i="15"/>
  <c r="M68" i="15"/>
  <c r="P68" i="15" s="1"/>
  <c r="N66" i="2"/>
  <c r="L71" i="1"/>
  <c r="N96" i="2"/>
  <c r="J308" i="1"/>
  <c r="N386" i="1"/>
  <c r="J393" i="1"/>
  <c r="N602" i="1"/>
  <c r="J609" i="1"/>
  <c r="I613" i="1"/>
  <c r="I616" i="1"/>
  <c r="I622" i="1"/>
  <c r="I625" i="1"/>
  <c r="K635" i="2"/>
  <c r="J111" i="1"/>
  <c r="K111" i="1" s="1"/>
  <c r="K200" i="3"/>
  <c r="J283" i="1"/>
  <c r="I289" i="1"/>
  <c r="N298" i="1"/>
  <c r="O298" i="1" s="1"/>
  <c r="J304" i="1"/>
  <c r="N312" i="3"/>
  <c r="N310" i="3" s="1"/>
  <c r="J346" i="1"/>
  <c r="J360" i="1"/>
  <c r="J365" i="1"/>
  <c r="J374" i="1"/>
  <c r="K398" i="3"/>
  <c r="O401" i="3"/>
  <c r="N406" i="1"/>
  <c r="O406" i="1" s="1"/>
  <c r="O435" i="3"/>
  <c r="J452" i="1"/>
  <c r="J475" i="1"/>
  <c r="K481" i="3"/>
  <c r="O537" i="3"/>
  <c r="N587" i="1"/>
  <c r="M120" i="4"/>
  <c r="P120" i="4" s="1"/>
  <c r="K266" i="4"/>
  <c r="O352" i="4"/>
  <c r="K612" i="4"/>
  <c r="N644" i="4"/>
  <c r="N640" i="4" s="1"/>
  <c r="N638" i="4" s="1"/>
  <c r="N636" i="4" s="1"/>
  <c r="J671" i="4"/>
  <c r="N55" i="5"/>
  <c r="N53" i="5" s="1"/>
  <c r="L24" i="5"/>
  <c r="O24" i="5" s="1"/>
  <c r="N252" i="5"/>
  <c r="N250" i="5" s="1"/>
  <c r="N33" i="5"/>
  <c r="N13" i="5" s="1"/>
  <c r="K580" i="5"/>
  <c r="K615" i="5"/>
  <c r="P122" i="6"/>
  <c r="M120" i="6"/>
  <c r="P120" i="6" s="1"/>
  <c r="M290" i="6"/>
  <c r="P290" i="6" s="1"/>
  <c r="P292" i="6"/>
  <c r="N68" i="7"/>
  <c r="N66" i="7" s="1"/>
  <c r="P254" i="7"/>
  <c r="M252" i="7"/>
  <c r="L34" i="7"/>
  <c r="N22" i="13"/>
  <c r="M298" i="2"/>
  <c r="P298" i="2" s="1"/>
  <c r="P318" i="1"/>
  <c r="N356" i="1"/>
  <c r="J363" i="1"/>
  <c r="J367" i="1"/>
  <c r="J378" i="1"/>
  <c r="J424" i="1"/>
  <c r="J427" i="1"/>
  <c r="N34" i="2"/>
  <c r="N14" i="2" s="1"/>
  <c r="K473" i="2"/>
  <c r="K482" i="2"/>
  <c r="K497" i="2"/>
  <c r="N556" i="1"/>
  <c r="O568" i="2"/>
  <c r="K573" i="2"/>
  <c r="O597" i="2"/>
  <c r="K613" i="2"/>
  <c r="L57" i="3"/>
  <c r="O57" i="3" s="1"/>
  <c r="L70" i="3"/>
  <c r="L68" i="3" s="1"/>
  <c r="L66" i="3" s="1"/>
  <c r="J109" i="1"/>
  <c r="K109" i="1" s="1"/>
  <c r="J344" i="1"/>
  <c r="K465" i="3"/>
  <c r="I473" i="1"/>
  <c r="K473" i="1" s="1"/>
  <c r="J502" i="1"/>
  <c r="J514" i="1"/>
  <c r="N557" i="1"/>
  <c r="N583" i="1"/>
  <c r="O599" i="3"/>
  <c r="N55" i="4"/>
  <c r="N53" i="4" s="1"/>
  <c r="K264" i="4"/>
  <c r="O347" i="4"/>
  <c r="K396" i="4"/>
  <c r="K466" i="4"/>
  <c r="N347" i="1"/>
  <c r="I380" i="1"/>
  <c r="K380" i="1" s="1"/>
  <c r="L382" i="1"/>
  <c r="O382" i="1" s="1"/>
  <c r="K397" i="5"/>
  <c r="K401" i="5"/>
  <c r="O597" i="5"/>
  <c r="K613" i="5"/>
  <c r="K619" i="5"/>
  <c r="P57" i="7"/>
  <c r="M55" i="7"/>
  <c r="L333" i="7"/>
  <c r="L331" i="7" s="1"/>
  <c r="L329" i="7" s="1"/>
  <c r="K340" i="7"/>
  <c r="K343" i="7"/>
  <c r="P275" i="8"/>
  <c r="M273" i="8"/>
  <c r="K80" i="2"/>
  <c r="J88" i="1"/>
  <c r="P333" i="2"/>
  <c r="J373" i="1"/>
  <c r="O459" i="2"/>
  <c r="J674" i="1"/>
  <c r="K88" i="3"/>
  <c r="K93" i="3"/>
  <c r="P144" i="3"/>
  <c r="J215" i="1"/>
  <c r="N292" i="3"/>
  <c r="N290" i="3" s="1"/>
  <c r="L314" i="3"/>
  <c r="O314" i="3" s="1"/>
  <c r="K340" i="3"/>
  <c r="J342" i="1"/>
  <c r="K350" i="3"/>
  <c r="N352" i="1"/>
  <c r="O352" i="1" s="1"/>
  <c r="K402" i="3"/>
  <c r="J446" i="1"/>
  <c r="J479" i="1"/>
  <c r="O535" i="3"/>
  <c r="J577" i="1"/>
  <c r="J83" i="1"/>
  <c r="K83" i="1" s="1"/>
  <c r="N252" i="4"/>
  <c r="P252" i="4" s="1"/>
  <c r="K345" i="4"/>
  <c r="K397" i="4"/>
  <c r="O459" i="4"/>
  <c r="K464" i="4"/>
  <c r="K573" i="4"/>
  <c r="O597" i="4"/>
  <c r="K629" i="4"/>
  <c r="L33" i="5"/>
  <c r="O33" i="5" s="1"/>
  <c r="L57" i="5"/>
  <c r="O57" i="5" s="1"/>
  <c r="K92" i="5"/>
  <c r="M252" i="5"/>
  <c r="P252" i="5" s="1"/>
  <c r="K345" i="5"/>
  <c r="K626" i="5"/>
  <c r="K621" i="5"/>
  <c r="K623" i="5"/>
  <c r="K625" i="5"/>
  <c r="P275" i="6"/>
  <c r="M273" i="6"/>
  <c r="P273" i="6" s="1"/>
  <c r="M22" i="7"/>
  <c r="P55" i="2"/>
  <c r="P144" i="2"/>
  <c r="K149" i="2"/>
  <c r="K158" i="2"/>
  <c r="K189" i="2"/>
  <c r="J229" i="1"/>
  <c r="J235" i="1"/>
  <c r="J241" i="1"/>
  <c r="N292" i="2"/>
  <c r="N290" i="2" s="1"/>
  <c r="K306" i="2"/>
  <c r="M314" i="1"/>
  <c r="K343" i="2"/>
  <c r="J371" i="1"/>
  <c r="K380" i="2"/>
  <c r="N33" i="2"/>
  <c r="N13" i="2" s="1"/>
  <c r="K428" i="2"/>
  <c r="O437" i="2"/>
  <c r="K465" i="2"/>
  <c r="K474" i="2"/>
  <c r="K498" i="2"/>
  <c r="O535" i="2"/>
  <c r="K564" i="2"/>
  <c r="O566" i="2"/>
  <c r="K611" i="2"/>
  <c r="K630" i="2"/>
  <c r="N26" i="3"/>
  <c r="N16" i="3" s="1"/>
  <c r="J128" i="1"/>
  <c r="K133" i="3"/>
  <c r="P142" i="3"/>
  <c r="J202" i="1"/>
  <c r="L255" i="1"/>
  <c r="J262" i="1"/>
  <c r="K266" i="3"/>
  <c r="K270" i="3"/>
  <c r="L294" i="3"/>
  <c r="O294" i="3" s="1"/>
  <c r="K324" i="3"/>
  <c r="K376" i="3"/>
  <c r="K397" i="3"/>
  <c r="K401" i="3"/>
  <c r="K428" i="3"/>
  <c r="K435" i="3"/>
  <c r="O437" i="3"/>
  <c r="K451" i="3"/>
  <c r="O459" i="3"/>
  <c r="K474" i="3"/>
  <c r="J500" i="1"/>
  <c r="J506" i="1"/>
  <c r="J512" i="1"/>
  <c r="N539" i="1"/>
  <c r="J546" i="1"/>
  <c r="K564" i="3"/>
  <c r="N569" i="1"/>
  <c r="K616" i="3"/>
  <c r="M68" i="4"/>
  <c r="K189" i="4"/>
  <c r="K343" i="4"/>
  <c r="N407" i="1"/>
  <c r="J414" i="1"/>
  <c r="K418" i="4"/>
  <c r="K421" i="4"/>
  <c r="K424" i="4"/>
  <c r="K427" i="4"/>
  <c r="K430" i="4"/>
  <c r="N441" i="1"/>
  <c r="J448" i="1"/>
  <c r="K474" i="4"/>
  <c r="K498" i="4"/>
  <c r="N581" i="1"/>
  <c r="K622" i="4"/>
  <c r="M70" i="1"/>
  <c r="J76" i="1"/>
  <c r="O102" i="5"/>
  <c r="J110" i="1"/>
  <c r="P224" i="5"/>
  <c r="L294" i="5"/>
  <c r="O294" i="5" s="1"/>
  <c r="K343" i="5"/>
  <c r="O380" i="5"/>
  <c r="O383" i="5"/>
  <c r="K398" i="5"/>
  <c r="O401" i="5"/>
  <c r="K423" i="5"/>
  <c r="K429" i="5"/>
  <c r="K482" i="5"/>
  <c r="K533" i="5"/>
  <c r="K466" i="6"/>
  <c r="K628" i="6"/>
  <c r="K634" i="6"/>
  <c r="K649" i="6"/>
  <c r="L33" i="7"/>
  <c r="O33" i="7" s="1"/>
  <c r="L294" i="7"/>
  <c r="L292" i="7" s="1"/>
  <c r="K424" i="7"/>
  <c r="K482" i="7"/>
  <c r="O564" i="7"/>
  <c r="K631" i="8"/>
  <c r="M68" i="6"/>
  <c r="P68" i="6" s="1"/>
  <c r="N96" i="6"/>
  <c r="L122" i="6"/>
  <c r="L120" i="6" s="1"/>
  <c r="O404" i="6"/>
  <c r="K420" i="6"/>
  <c r="K474" i="6"/>
  <c r="K632" i="6"/>
  <c r="K648" i="6"/>
  <c r="N96" i="7"/>
  <c r="N94" i="7" s="1"/>
  <c r="K219" i="7"/>
  <c r="K235" i="7"/>
  <c r="K417" i="7"/>
  <c r="K429" i="7"/>
  <c r="K229" i="8"/>
  <c r="K235" i="8"/>
  <c r="N252" i="8"/>
  <c r="N250" i="8" s="1"/>
  <c r="L273" i="8"/>
  <c r="L271" i="8" s="1"/>
  <c r="M292" i="8"/>
  <c r="N331" i="8"/>
  <c r="N329" i="8" s="1"/>
  <c r="K417" i="8"/>
  <c r="K423" i="8"/>
  <c r="K429" i="8"/>
  <c r="O435" i="8"/>
  <c r="J671" i="8"/>
  <c r="K64" i="9"/>
  <c r="P122" i="9"/>
  <c r="M120" i="9"/>
  <c r="P120" i="9" s="1"/>
  <c r="N34" i="10"/>
  <c r="N14" i="10" s="1"/>
  <c r="P294" i="11"/>
  <c r="M292" i="11"/>
  <c r="N22" i="12"/>
  <c r="P254" i="12"/>
  <c r="M252" i="12"/>
  <c r="O383" i="13"/>
  <c r="N32" i="13"/>
  <c r="N30" i="13" s="1"/>
  <c r="M43" i="14"/>
  <c r="P45" i="14"/>
  <c r="K380" i="6"/>
  <c r="J671" i="6"/>
  <c r="L70" i="7"/>
  <c r="L98" i="7"/>
  <c r="L96" i="7" s="1"/>
  <c r="O96" i="7" s="1"/>
  <c r="P144" i="7"/>
  <c r="K158" i="7"/>
  <c r="K341" i="7"/>
  <c r="K380" i="7"/>
  <c r="K396" i="7"/>
  <c r="K427" i="7"/>
  <c r="O459" i="7"/>
  <c r="K533" i="7"/>
  <c r="K597" i="7"/>
  <c r="L254" i="8"/>
  <c r="O254" i="8" s="1"/>
  <c r="P333" i="8"/>
  <c r="K345" i="8"/>
  <c r="K349" i="8"/>
  <c r="O354" i="8"/>
  <c r="K398" i="8"/>
  <c r="O401" i="8"/>
  <c r="O404" i="8"/>
  <c r="K418" i="8"/>
  <c r="K424" i="8"/>
  <c r="O439" i="8"/>
  <c r="K450" i="8"/>
  <c r="K573" i="8"/>
  <c r="K612" i="8"/>
  <c r="K616" i="8"/>
  <c r="K621" i="8"/>
  <c r="K623" i="8"/>
  <c r="K625" i="8"/>
  <c r="K65" i="9"/>
  <c r="K113" i="9"/>
  <c r="P294" i="9"/>
  <c r="M292" i="9"/>
  <c r="P292" i="9" s="1"/>
  <c r="K474" i="9"/>
  <c r="N120" i="10"/>
  <c r="N118" i="10" s="1"/>
  <c r="K368" i="10"/>
  <c r="K371" i="10"/>
  <c r="I367" i="10"/>
  <c r="K367" i="10" s="1"/>
  <c r="K199" i="11"/>
  <c r="K369" i="11"/>
  <c r="I367" i="11"/>
  <c r="K367" i="11" s="1"/>
  <c r="K450" i="11"/>
  <c r="O564" i="11"/>
  <c r="L33" i="12"/>
  <c r="O33" i="12" s="1"/>
  <c r="N96" i="12"/>
  <c r="N94" i="12" s="1"/>
  <c r="N252" i="12"/>
  <c r="O404" i="12"/>
  <c r="K149" i="6"/>
  <c r="K158" i="6"/>
  <c r="N389" i="1"/>
  <c r="K396" i="6"/>
  <c r="K432" i="6"/>
  <c r="J651" i="6"/>
  <c r="L31" i="7"/>
  <c r="O31" i="7" s="1"/>
  <c r="J671" i="7"/>
  <c r="N644" i="8"/>
  <c r="N640" i="8" s="1"/>
  <c r="N638" i="8" s="1"/>
  <c r="N636" i="8" s="1"/>
  <c r="N68" i="9"/>
  <c r="N66" i="9" s="1"/>
  <c r="P144" i="11"/>
  <c r="M142" i="11"/>
  <c r="M140" i="11" s="1"/>
  <c r="K628" i="5"/>
  <c r="L45" i="6"/>
  <c r="L43" i="6" s="1"/>
  <c r="O43" i="6" s="1"/>
  <c r="J86" i="1"/>
  <c r="L144" i="6"/>
  <c r="L142" i="6" s="1"/>
  <c r="L140" i="6" s="1"/>
  <c r="K164" i="6"/>
  <c r="K229" i="6"/>
  <c r="K235" i="6"/>
  <c r="L254" i="6"/>
  <c r="L252" i="6" s="1"/>
  <c r="O252" i="6" s="1"/>
  <c r="J301" i="1"/>
  <c r="L314" i="6"/>
  <c r="L312" i="6" s="1"/>
  <c r="O312" i="6" s="1"/>
  <c r="O380" i="6"/>
  <c r="K401" i="6"/>
  <c r="K422" i="6"/>
  <c r="K425" i="6"/>
  <c r="K430" i="6"/>
  <c r="K345" i="7"/>
  <c r="O385" i="7"/>
  <c r="K397" i="7"/>
  <c r="K423" i="7"/>
  <c r="O455" i="7"/>
  <c r="K473" i="7"/>
  <c r="K481" i="7"/>
  <c r="O533" i="7"/>
  <c r="K564" i="7"/>
  <c r="O566" i="7"/>
  <c r="P122" i="8"/>
  <c r="N273" i="8"/>
  <c r="K340" i="8"/>
  <c r="K343" i="8"/>
  <c r="O349" i="8"/>
  <c r="O352" i="8"/>
  <c r="K402" i="8"/>
  <c r="K416" i="8"/>
  <c r="K422" i="8"/>
  <c r="K428" i="8"/>
  <c r="K435" i="8"/>
  <c r="O437" i="8"/>
  <c r="O535" i="8"/>
  <c r="K564" i="8"/>
  <c r="K630" i="8"/>
  <c r="K633" i="8"/>
  <c r="K650" i="8"/>
  <c r="P70" i="9"/>
  <c r="K81" i="9"/>
  <c r="K93" i="9"/>
  <c r="K267" i="9"/>
  <c r="K328" i="9"/>
  <c r="K376" i="9"/>
  <c r="K401" i="9"/>
  <c r="O406" i="9"/>
  <c r="K420" i="9"/>
  <c r="K426" i="9"/>
  <c r="K432" i="9"/>
  <c r="O435" i="9"/>
  <c r="P45" i="10"/>
  <c r="P275" i="10"/>
  <c r="M273" i="10"/>
  <c r="L333" i="10"/>
  <c r="O333" i="10" s="1"/>
  <c r="N33" i="10"/>
  <c r="N13" i="10" s="1"/>
  <c r="K398" i="10"/>
  <c r="K345" i="11"/>
  <c r="N33" i="11"/>
  <c r="N13" i="11" s="1"/>
  <c r="K465" i="11"/>
  <c r="K474" i="11"/>
  <c r="K547" i="11"/>
  <c r="L122" i="12"/>
  <c r="O122" i="12" s="1"/>
  <c r="K164" i="12"/>
  <c r="K396" i="12"/>
  <c r="N222" i="9"/>
  <c r="N220" i="9" s="1"/>
  <c r="N331" i="9"/>
  <c r="N329" i="9" s="1"/>
  <c r="N34" i="9"/>
  <c r="N14" i="9" s="1"/>
  <c r="O580" i="9"/>
  <c r="P144" i="10"/>
  <c r="K149" i="10"/>
  <c r="L294" i="10"/>
  <c r="L292" i="10" s="1"/>
  <c r="L290" i="10" s="1"/>
  <c r="O290" i="10" s="1"/>
  <c r="K343" i="10"/>
  <c r="K422" i="10"/>
  <c r="K629" i="10"/>
  <c r="N120" i="11"/>
  <c r="N118" i="11" s="1"/>
  <c r="P224" i="11"/>
  <c r="K229" i="11"/>
  <c r="L254" i="11"/>
  <c r="O254" i="11" s="1"/>
  <c r="L275" i="11"/>
  <c r="L273" i="11" s="1"/>
  <c r="N290" i="11"/>
  <c r="L314" i="11"/>
  <c r="L333" i="11"/>
  <c r="O333" i="11" s="1"/>
  <c r="K340" i="11"/>
  <c r="K343" i="11"/>
  <c r="K398" i="11"/>
  <c r="O401" i="11"/>
  <c r="O406" i="11"/>
  <c r="K420" i="11"/>
  <c r="K466" i="11"/>
  <c r="K481" i="11"/>
  <c r="K597" i="11"/>
  <c r="K628" i="11"/>
  <c r="K631" i="11"/>
  <c r="K109" i="12"/>
  <c r="P224" i="12"/>
  <c r="K235" i="12"/>
  <c r="K340" i="12"/>
  <c r="K377" i="12"/>
  <c r="K397" i="12"/>
  <c r="K402" i="12"/>
  <c r="K424" i="12"/>
  <c r="K432" i="12"/>
  <c r="K369" i="13"/>
  <c r="I367" i="13"/>
  <c r="K367" i="13" s="1"/>
  <c r="O384" i="13"/>
  <c r="L33" i="13"/>
  <c r="O33" i="13" s="1"/>
  <c r="K482" i="13"/>
  <c r="N644" i="13"/>
  <c r="N640" i="13" s="1"/>
  <c r="N638" i="13" s="1"/>
  <c r="N636" i="13" s="1"/>
  <c r="K345" i="9"/>
  <c r="K350" i="9"/>
  <c r="I367" i="9"/>
  <c r="K367" i="9" s="1"/>
  <c r="K377" i="9"/>
  <c r="O457" i="9"/>
  <c r="K499" i="9"/>
  <c r="L26" i="12"/>
  <c r="L16" i="12" s="1"/>
  <c r="N292" i="12"/>
  <c r="N290" i="12" s="1"/>
  <c r="N312" i="12"/>
  <c r="N310" i="12" s="1"/>
  <c r="L31" i="13"/>
  <c r="L11" i="13" s="1"/>
  <c r="O351" i="13"/>
  <c r="L142" i="14"/>
  <c r="O142" i="14" s="1"/>
  <c r="L142" i="15"/>
  <c r="L140" i="15" s="1"/>
  <c r="O144" i="15"/>
  <c r="N312" i="9"/>
  <c r="N310" i="9" s="1"/>
  <c r="K533" i="9"/>
  <c r="K573" i="9"/>
  <c r="K591" i="9"/>
  <c r="K597" i="9"/>
  <c r="N644" i="9"/>
  <c r="N640" i="9" s="1"/>
  <c r="N638" i="9" s="1"/>
  <c r="N636" i="9" s="1"/>
  <c r="N312" i="10"/>
  <c r="N310" i="10" s="1"/>
  <c r="N32" i="10"/>
  <c r="N30" i="10" s="1"/>
  <c r="O385" i="10"/>
  <c r="K573" i="10"/>
  <c r="K618" i="10"/>
  <c r="M222" i="11"/>
  <c r="M49" i="12"/>
  <c r="M43" i="12" s="1"/>
  <c r="M41" i="12" s="1"/>
  <c r="N55" i="12"/>
  <c r="N53" i="12" s="1"/>
  <c r="O102" i="12"/>
  <c r="L32" i="13"/>
  <c r="L30" i="13" s="1"/>
  <c r="L333" i="13"/>
  <c r="L331" i="13" s="1"/>
  <c r="L329" i="13" s="1"/>
  <c r="K249" i="9"/>
  <c r="K264" i="9"/>
  <c r="L314" i="9"/>
  <c r="O337" i="9"/>
  <c r="K343" i="9"/>
  <c r="K381" i="9"/>
  <c r="K481" i="9"/>
  <c r="O533" i="9"/>
  <c r="K624" i="9"/>
  <c r="N252" i="10"/>
  <c r="N250" i="10" s="1"/>
  <c r="K370" i="10"/>
  <c r="O383" i="10"/>
  <c r="K401" i="10"/>
  <c r="K435" i="10"/>
  <c r="O437" i="10"/>
  <c r="O533" i="10"/>
  <c r="O564" i="10"/>
  <c r="K611" i="10"/>
  <c r="K219" i="11"/>
  <c r="K380" i="11"/>
  <c r="O385" i="11"/>
  <c r="K421" i="11"/>
  <c r="K427" i="11"/>
  <c r="K635" i="11"/>
  <c r="M102" i="12"/>
  <c r="M96" i="12" s="1"/>
  <c r="K108" i="12"/>
  <c r="N120" i="12"/>
  <c r="N118" i="12" s="1"/>
  <c r="K149" i="12"/>
  <c r="K158" i="12"/>
  <c r="K189" i="12"/>
  <c r="O347" i="12"/>
  <c r="O352" i="12"/>
  <c r="I367" i="12"/>
  <c r="K367" i="12" s="1"/>
  <c r="K370" i="12"/>
  <c r="K381" i="12"/>
  <c r="O406" i="12"/>
  <c r="K419" i="12"/>
  <c r="K430" i="12"/>
  <c r="O439" i="12"/>
  <c r="K450" i="12"/>
  <c r="N29" i="13"/>
  <c r="N55" i="14"/>
  <c r="N53" i="14" s="1"/>
  <c r="O53" i="14" s="1"/>
  <c r="O57" i="14"/>
  <c r="N43" i="14"/>
  <c r="N41" i="14" s="1"/>
  <c r="K173" i="14"/>
  <c r="K381" i="14"/>
  <c r="N94" i="15"/>
  <c r="K343" i="15"/>
  <c r="O349" i="15"/>
  <c r="K418" i="15"/>
  <c r="K426" i="15"/>
  <c r="K429" i="15"/>
  <c r="O457" i="15"/>
  <c r="O564" i="15"/>
  <c r="O535" i="12"/>
  <c r="K635" i="12"/>
  <c r="N142" i="13"/>
  <c r="K158" i="13"/>
  <c r="K200" i="13"/>
  <c r="L224" i="13"/>
  <c r="O224" i="13" s="1"/>
  <c r="K235" i="13"/>
  <c r="O337" i="13"/>
  <c r="K343" i="13"/>
  <c r="K372" i="13"/>
  <c r="K381" i="13"/>
  <c r="K422" i="13"/>
  <c r="K428" i="13"/>
  <c r="K619" i="13"/>
  <c r="K625" i="13"/>
  <c r="K200" i="14"/>
  <c r="N312" i="14"/>
  <c r="N310" i="14" s="1"/>
  <c r="K619" i="14"/>
  <c r="M66" i="15"/>
  <c r="P66" i="15" s="1"/>
  <c r="L70" i="15"/>
  <c r="K133" i="15"/>
  <c r="K264" i="15"/>
  <c r="K270" i="15"/>
  <c r="K306" i="15"/>
  <c r="K380" i="15"/>
  <c r="K466" i="15"/>
  <c r="K481" i="15"/>
  <c r="K499" i="15"/>
  <c r="K625" i="15"/>
  <c r="N68" i="13"/>
  <c r="K450" i="14"/>
  <c r="J651" i="14"/>
  <c r="K328" i="15"/>
  <c r="K368" i="15"/>
  <c r="N31" i="15"/>
  <c r="N29" i="15" s="1"/>
  <c r="K430" i="15"/>
  <c r="O455" i="15"/>
  <c r="K573" i="12"/>
  <c r="J671" i="12"/>
  <c r="L144" i="13"/>
  <c r="L142" i="13" s="1"/>
  <c r="L140" i="13" s="1"/>
  <c r="O347" i="13"/>
  <c r="K350" i="13"/>
  <c r="K370" i="13"/>
  <c r="K380" i="13"/>
  <c r="O385" i="13"/>
  <c r="K426" i="13"/>
  <c r="K435" i="13"/>
  <c r="O437" i="13"/>
  <c r="K481" i="13"/>
  <c r="K498" i="13"/>
  <c r="M96" i="14"/>
  <c r="P96" i="14" s="1"/>
  <c r="K270" i="14"/>
  <c r="O380" i="14"/>
  <c r="O385" i="14"/>
  <c r="J671" i="14"/>
  <c r="N55" i="15"/>
  <c r="O599" i="15"/>
  <c r="O459" i="12"/>
  <c r="K547" i="12"/>
  <c r="K628" i="12"/>
  <c r="K117" i="13"/>
  <c r="K132" i="13"/>
  <c r="N222" i="13"/>
  <c r="K270" i="13"/>
  <c r="N292" i="13"/>
  <c r="N290" i="13" s="1"/>
  <c r="P290" i="13" s="1"/>
  <c r="K309" i="13"/>
  <c r="K324" i="13"/>
  <c r="K377" i="13"/>
  <c r="K398" i="13"/>
  <c r="O401" i="13"/>
  <c r="O435" i="13"/>
  <c r="K455" i="13"/>
  <c r="K533" i="13"/>
  <c r="O535" i="13"/>
  <c r="O564" i="13"/>
  <c r="K589" i="13"/>
  <c r="O599" i="13"/>
  <c r="P57" i="14"/>
  <c r="K189" i="14"/>
  <c r="K219" i="14"/>
  <c r="M222" i="14"/>
  <c r="P222" i="14" s="1"/>
  <c r="K328" i="14"/>
  <c r="N32" i="14"/>
  <c r="N30" i="14" s="1"/>
  <c r="K398" i="14"/>
  <c r="O401" i="14"/>
  <c r="O404" i="14"/>
  <c r="K420" i="14"/>
  <c r="K426" i="14"/>
  <c r="O437" i="14"/>
  <c r="O533" i="14"/>
  <c r="O566" i="14"/>
  <c r="O599" i="14"/>
  <c r="N14" i="15"/>
  <c r="K149" i="15"/>
  <c r="K164" i="15"/>
  <c r="K173" i="15"/>
  <c r="K265" i="15"/>
  <c r="K309" i="15"/>
  <c r="K345" i="15"/>
  <c r="K372" i="15"/>
  <c r="K420" i="15"/>
  <c r="K621" i="15"/>
  <c r="K628" i="15"/>
  <c r="K631" i="15"/>
  <c r="M41" i="3"/>
  <c r="M96" i="3"/>
  <c r="N220" i="3"/>
  <c r="O254" i="2"/>
  <c r="L252" i="2"/>
  <c r="L273" i="3"/>
  <c r="O273" i="3" s="1"/>
  <c r="O275" i="3"/>
  <c r="K597" i="1"/>
  <c r="N45" i="1"/>
  <c r="N43" i="1" s="1"/>
  <c r="N41" i="1" s="1"/>
  <c r="I133" i="1"/>
  <c r="J173" i="1"/>
  <c r="L318" i="1"/>
  <c r="O318" i="1" s="1"/>
  <c r="N337" i="1"/>
  <c r="I418" i="1"/>
  <c r="K418" i="1" s="1"/>
  <c r="I421" i="1"/>
  <c r="I424" i="1"/>
  <c r="K424" i="1" s="1"/>
  <c r="I427" i="1"/>
  <c r="K427" i="1" s="1"/>
  <c r="L437" i="1"/>
  <c r="N439" i="1"/>
  <c r="O439" i="1" s="1"/>
  <c r="J481" i="1"/>
  <c r="I505" i="1"/>
  <c r="K505" i="1" s="1"/>
  <c r="L536" i="1"/>
  <c r="O536" i="1" s="1"/>
  <c r="L554" i="1"/>
  <c r="O554" i="1" s="1"/>
  <c r="I575" i="1"/>
  <c r="K575" i="1" s="1"/>
  <c r="I580" i="1"/>
  <c r="K580" i="1" s="1"/>
  <c r="I596" i="1"/>
  <c r="K596" i="1" s="1"/>
  <c r="I648" i="1"/>
  <c r="L650" i="1"/>
  <c r="L70" i="2"/>
  <c r="O70" i="2" s="1"/>
  <c r="N26" i="2"/>
  <c r="N16" i="2" s="1"/>
  <c r="L122" i="2"/>
  <c r="L120" i="2" s="1"/>
  <c r="L312" i="2"/>
  <c r="L310" i="2" s="1"/>
  <c r="P314" i="2"/>
  <c r="O333" i="2"/>
  <c r="K426" i="2"/>
  <c r="O457" i="2"/>
  <c r="K614" i="2"/>
  <c r="K617" i="2"/>
  <c r="N66" i="3"/>
  <c r="O66" i="3" s="1"/>
  <c r="O98" i="3"/>
  <c r="N96" i="3"/>
  <c r="N94" i="3" s="1"/>
  <c r="K267" i="3"/>
  <c r="L31" i="3"/>
  <c r="L29" i="3" s="1"/>
  <c r="K235" i="4"/>
  <c r="L224" i="5"/>
  <c r="O224" i="5" s="1"/>
  <c r="O337" i="5"/>
  <c r="M337" i="5"/>
  <c r="M331" i="5" s="1"/>
  <c r="P331" i="5" s="1"/>
  <c r="I65" i="1"/>
  <c r="I84" i="1"/>
  <c r="K84" i="1" s="1"/>
  <c r="I87" i="1"/>
  <c r="K87" i="1" s="1"/>
  <c r="I215" i="1"/>
  <c r="K215" i="1" s="1"/>
  <c r="M294" i="1"/>
  <c r="P294" i="1" s="1"/>
  <c r="M298" i="1"/>
  <c r="I349" i="1"/>
  <c r="K349" i="1" s="1"/>
  <c r="N404" i="1"/>
  <c r="O404" i="1" s="1"/>
  <c r="I430" i="1"/>
  <c r="N437" i="1"/>
  <c r="I451" i="1"/>
  <c r="K464" i="1"/>
  <c r="I467" i="1"/>
  <c r="K467" i="1" s="1"/>
  <c r="I503" i="1"/>
  <c r="K503" i="1" s="1"/>
  <c r="L534" i="1"/>
  <c r="O534" i="1" s="1"/>
  <c r="L565" i="1"/>
  <c r="O565" i="1" s="1"/>
  <c r="I578" i="1"/>
  <c r="K578" i="1" s="1"/>
  <c r="L598" i="1"/>
  <c r="O598" i="1" s="1"/>
  <c r="L32" i="2"/>
  <c r="L30" i="2" s="1"/>
  <c r="O30" i="2" s="1"/>
  <c r="N142" i="2"/>
  <c r="N140" i="2" s="1"/>
  <c r="M273" i="2"/>
  <c r="P273" i="2" s="1"/>
  <c r="K631" i="2"/>
  <c r="L640" i="2"/>
  <c r="L638" i="2" s="1"/>
  <c r="O70" i="3"/>
  <c r="K86" i="3"/>
  <c r="K117" i="3"/>
  <c r="N118" i="3"/>
  <c r="P118" i="3" s="1"/>
  <c r="K138" i="3"/>
  <c r="K201" i="3"/>
  <c r="K370" i="3"/>
  <c r="K416" i="3"/>
  <c r="K499" i="3"/>
  <c r="O382" i="4"/>
  <c r="L31" i="4"/>
  <c r="K343" i="1"/>
  <c r="N220" i="2"/>
  <c r="L99" i="1"/>
  <c r="I186" i="1"/>
  <c r="I219" i="1"/>
  <c r="K219" i="1" s="1"/>
  <c r="I285" i="1"/>
  <c r="K285" i="1" s="1"/>
  <c r="I324" i="1"/>
  <c r="K324" i="1" s="1"/>
  <c r="N354" i="1"/>
  <c r="O354" i="1" s="1"/>
  <c r="J396" i="1"/>
  <c r="I419" i="1"/>
  <c r="I422" i="1"/>
  <c r="I428" i="1"/>
  <c r="K428" i="1" s="1"/>
  <c r="L438" i="1"/>
  <c r="O438" i="1" s="1"/>
  <c r="I508" i="1"/>
  <c r="K508" i="1" s="1"/>
  <c r="K564" i="1"/>
  <c r="L568" i="1"/>
  <c r="I576" i="1"/>
  <c r="K576" i="1" s="1"/>
  <c r="I629" i="1"/>
  <c r="L665" i="1"/>
  <c r="O665" i="1" s="1"/>
  <c r="L57" i="2"/>
  <c r="K88" i="2"/>
  <c r="M220" i="2"/>
  <c r="P224" i="2"/>
  <c r="K235" i="2"/>
  <c r="K289" i="2"/>
  <c r="M292" i="2"/>
  <c r="P292" i="2" s="1"/>
  <c r="K340" i="2"/>
  <c r="K402" i="2"/>
  <c r="K424" i="2"/>
  <c r="K597" i="2"/>
  <c r="N55" i="3"/>
  <c r="P55" i="3" s="1"/>
  <c r="K81" i="3"/>
  <c r="K380" i="3"/>
  <c r="K422" i="3"/>
  <c r="N31" i="3"/>
  <c r="N29" i="3" s="1"/>
  <c r="O457" i="3"/>
  <c r="K612" i="3"/>
  <c r="K614" i="3"/>
  <c r="O126" i="4"/>
  <c r="L26" i="4"/>
  <c r="L16" i="4" s="1"/>
  <c r="O537" i="4"/>
  <c r="K110" i="5"/>
  <c r="P144" i="6"/>
  <c r="N142" i="6"/>
  <c r="P142" i="6" s="1"/>
  <c r="K424" i="6"/>
  <c r="O385" i="5"/>
  <c r="L34" i="5"/>
  <c r="O49" i="1"/>
  <c r="K93" i="1"/>
  <c r="K200" i="1"/>
  <c r="K213" i="1"/>
  <c r="I270" i="1"/>
  <c r="L296" i="1"/>
  <c r="L383" i="1"/>
  <c r="O383" i="1" s="1"/>
  <c r="N385" i="1"/>
  <c r="O385" i="1" s="1"/>
  <c r="J397" i="1"/>
  <c r="K397" i="1" s="1"/>
  <c r="I401" i="1"/>
  <c r="K401" i="1" s="1"/>
  <c r="I417" i="1"/>
  <c r="I420" i="1"/>
  <c r="K420" i="1" s="1"/>
  <c r="I435" i="1"/>
  <c r="K435" i="1" s="1"/>
  <c r="O455" i="1"/>
  <c r="L551" i="1"/>
  <c r="O551" i="1" s="1"/>
  <c r="N566" i="1"/>
  <c r="O566" i="1" s="1"/>
  <c r="L583" i="1"/>
  <c r="O583" i="1" s="1"/>
  <c r="I595" i="1"/>
  <c r="O601" i="1"/>
  <c r="K621" i="1"/>
  <c r="L31" i="2"/>
  <c r="L33" i="2"/>
  <c r="O33" i="2" s="1"/>
  <c r="K84" i="2"/>
  <c r="N312" i="2"/>
  <c r="N310" i="2" s="1"/>
  <c r="K324" i="2"/>
  <c r="M337" i="2"/>
  <c r="M331" i="2" s="1"/>
  <c r="K341" i="2"/>
  <c r="K401" i="2"/>
  <c r="O406" i="2"/>
  <c r="K425" i="2"/>
  <c r="K616" i="2"/>
  <c r="K619" i="2"/>
  <c r="M22" i="3"/>
  <c r="M12" i="3" s="1"/>
  <c r="L33" i="3"/>
  <c r="O33" i="3" s="1"/>
  <c r="L45" i="3"/>
  <c r="O45" i="3" s="1"/>
  <c r="P120" i="3"/>
  <c r="M222" i="3"/>
  <c r="M220" i="3" s="1"/>
  <c r="P220" i="3" s="1"/>
  <c r="L224" i="3"/>
  <c r="O224" i="3" s="1"/>
  <c r="L254" i="3"/>
  <c r="L252" i="3" s="1"/>
  <c r="L250" i="3" s="1"/>
  <c r="K289" i="3"/>
  <c r="M292" i="3"/>
  <c r="K309" i="3"/>
  <c r="M331" i="3"/>
  <c r="L32" i="3"/>
  <c r="L30" i="3" s="1"/>
  <c r="O406" i="3"/>
  <c r="K431" i="3"/>
  <c r="K450" i="3"/>
  <c r="O455" i="3"/>
  <c r="K473" i="3"/>
  <c r="O564" i="3"/>
  <c r="L292" i="4"/>
  <c r="O292" i="4" s="1"/>
  <c r="O298" i="4"/>
  <c r="O405" i="4"/>
  <c r="L33" i="4"/>
  <c r="O33" i="4" s="1"/>
  <c r="K340" i="5"/>
  <c r="P333" i="6"/>
  <c r="N331" i="6"/>
  <c r="P331" i="6" s="1"/>
  <c r="O333" i="6"/>
  <c r="P222" i="2"/>
  <c r="P70" i="5"/>
  <c r="M68" i="5"/>
  <c r="M66" i="5" s="1"/>
  <c r="P66" i="5" s="1"/>
  <c r="O382" i="5"/>
  <c r="L31" i="5"/>
  <c r="L11" i="5" s="1"/>
  <c r="O11" i="5" s="1"/>
  <c r="M220" i="6"/>
  <c r="I86" i="1"/>
  <c r="I110" i="1"/>
  <c r="I113" i="1"/>
  <c r="K132" i="1"/>
  <c r="P254" i="1"/>
  <c r="I267" i="1"/>
  <c r="K267" i="1" s="1"/>
  <c r="L276" i="1"/>
  <c r="M333" i="1"/>
  <c r="L353" i="1"/>
  <c r="K370" i="1"/>
  <c r="I450" i="1"/>
  <c r="K450" i="1" s="1"/>
  <c r="I466" i="1"/>
  <c r="K466" i="1" s="1"/>
  <c r="I469" i="1"/>
  <c r="K469" i="1" s="1"/>
  <c r="I472" i="1"/>
  <c r="K472" i="1" s="1"/>
  <c r="I475" i="1"/>
  <c r="K475" i="1" s="1"/>
  <c r="I478" i="1"/>
  <c r="K478" i="1" s="1"/>
  <c r="I481" i="1"/>
  <c r="I484" i="1"/>
  <c r="K484" i="1" s="1"/>
  <c r="I487" i="1"/>
  <c r="K487" i="1" s="1"/>
  <c r="I490" i="1"/>
  <c r="K490" i="1" s="1"/>
  <c r="I493" i="1"/>
  <c r="K493" i="1" s="1"/>
  <c r="I496" i="1"/>
  <c r="K496" i="1" s="1"/>
  <c r="I499" i="1"/>
  <c r="K499" i="1" s="1"/>
  <c r="I502" i="1"/>
  <c r="K502" i="1" s="1"/>
  <c r="I514" i="1"/>
  <c r="K514" i="1" s="1"/>
  <c r="I561" i="1"/>
  <c r="K561" i="1" s="1"/>
  <c r="L581" i="1"/>
  <c r="O581" i="1" s="1"/>
  <c r="N599" i="1"/>
  <c r="K619" i="1"/>
  <c r="I649" i="1"/>
  <c r="L24" i="2"/>
  <c r="O24" i="2" s="1"/>
  <c r="O318" i="2"/>
  <c r="L23" i="3"/>
  <c r="L24" i="3"/>
  <c r="K92" i="3"/>
  <c r="K306" i="3"/>
  <c r="K372" i="3"/>
  <c r="N33" i="3"/>
  <c r="N13" i="3" s="1"/>
  <c r="M273" i="5"/>
  <c r="P275" i="5"/>
  <c r="K624" i="3"/>
  <c r="J651" i="3"/>
  <c r="O102" i="4"/>
  <c r="M292" i="4"/>
  <c r="P292" i="4" s="1"/>
  <c r="N22" i="4"/>
  <c r="I367" i="4"/>
  <c r="K367" i="4" s="1"/>
  <c r="K377" i="4"/>
  <c r="O380" i="4"/>
  <c r="K616" i="4"/>
  <c r="N220" i="5"/>
  <c r="K416" i="5"/>
  <c r="K424" i="5"/>
  <c r="K430" i="5"/>
  <c r="O459" i="5"/>
  <c r="N34" i="5"/>
  <c r="N14" i="5" s="1"/>
  <c r="O568" i="5"/>
  <c r="O599" i="5"/>
  <c r="K617" i="5"/>
  <c r="N94" i="6"/>
  <c r="P224" i="6"/>
  <c r="N31" i="6"/>
  <c r="N11" i="6" s="1"/>
  <c r="N9" i="6" s="1"/>
  <c r="O435" i="6"/>
  <c r="L43" i="7"/>
  <c r="O45" i="7"/>
  <c r="O70" i="7"/>
  <c r="L68" i="7"/>
  <c r="O68" i="7" s="1"/>
  <c r="K201" i="7"/>
  <c r="O597" i="3"/>
  <c r="K622" i="3"/>
  <c r="K113" i="4"/>
  <c r="N142" i="4"/>
  <c r="P142" i="4" s="1"/>
  <c r="K201" i="4"/>
  <c r="M271" i="4"/>
  <c r="P271" i="4" s="1"/>
  <c r="K375" i="4"/>
  <c r="N32" i="4"/>
  <c r="N30" i="4" s="1"/>
  <c r="K420" i="4"/>
  <c r="K426" i="4"/>
  <c r="K432" i="4"/>
  <c r="O566" i="4"/>
  <c r="K614" i="4"/>
  <c r="K626" i="4"/>
  <c r="J651" i="4"/>
  <c r="L122" i="5"/>
  <c r="L120" i="5" s="1"/>
  <c r="K185" i="5"/>
  <c r="M222" i="5"/>
  <c r="P222" i="5" s="1"/>
  <c r="N271" i="5"/>
  <c r="L275" i="5"/>
  <c r="N31" i="5"/>
  <c r="N29" i="5" s="1"/>
  <c r="K381" i="5"/>
  <c r="K425" i="5"/>
  <c r="K455" i="5"/>
  <c r="O533" i="5"/>
  <c r="K564" i="5"/>
  <c r="K593" i="5"/>
  <c r="N644" i="5"/>
  <c r="N640" i="5" s="1"/>
  <c r="N638" i="5" s="1"/>
  <c r="N636" i="5" s="1"/>
  <c r="J671" i="5"/>
  <c r="N273" i="6"/>
  <c r="K398" i="6"/>
  <c r="K421" i="6"/>
  <c r="O455" i="6"/>
  <c r="N120" i="7"/>
  <c r="O382" i="7"/>
  <c r="K634" i="3"/>
  <c r="N644" i="3"/>
  <c r="N640" i="3" s="1"/>
  <c r="N638" i="3" s="1"/>
  <c r="N636" i="3" s="1"/>
  <c r="N26" i="4"/>
  <c r="N16" i="4" s="1"/>
  <c r="P98" i="4"/>
  <c r="L122" i="4"/>
  <c r="L120" i="4" s="1"/>
  <c r="O120" i="4" s="1"/>
  <c r="M140" i="4"/>
  <c r="O337" i="4"/>
  <c r="K381" i="4"/>
  <c r="O455" i="4"/>
  <c r="K533" i="4"/>
  <c r="O564" i="4"/>
  <c r="O599" i="4"/>
  <c r="K624" i="4"/>
  <c r="N22" i="5"/>
  <c r="N20" i="5" s="1"/>
  <c r="K158" i="5"/>
  <c r="K199" i="5"/>
  <c r="O347" i="5"/>
  <c r="K402" i="5"/>
  <c r="O439" i="5"/>
  <c r="K465" i="5"/>
  <c r="K591" i="5"/>
  <c r="K629" i="5"/>
  <c r="M22" i="6"/>
  <c r="K173" i="6"/>
  <c r="K345" i="6"/>
  <c r="K419" i="6"/>
  <c r="K431" i="6"/>
  <c r="K450" i="6"/>
  <c r="N26" i="7"/>
  <c r="N16" i="7" s="1"/>
  <c r="K189" i="7"/>
  <c r="P294" i="7"/>
  <c r="M292" i="7"/>
  <c r="N329" i="7"/>
  <c r="O337" i="7"/>
  <c r="M337" i="7"/>
  <c r="K620" i="4"/>
  <c r="L222" i="5"/>
  <c r="O222" i="5" s="1"/>
  <c r="K426" i="5"/>
  <c r="K432" i="5"/>
  <c r="N32" i="5"/>
  <c r="N30" i="5" s="1"/>
  <c r="K450" i="5"/>
  <c r="O455" i="5"/>
  <c r="K481" i="5"/>
  <c r="O564" i="5"/>
  <c r="O601" i="5"/>
  <c r="L24" i="6"/>
  <c r="O24" i="6" s="1"/>
  <c r="K200" i="6"/>
  <c r="K341" i="6"/>
  <c r="K397" i="6"/>
  <c r="K427" i="6"/>
  <c r="O437" i="6"/>
  <c r="N644" i="6"/>
  <c r="N640" i="6" s="1"/>
  <c r="N638" i="6" s="1"/>
  <c r="N636" i="6" s="1"/>
  <c r="P98" i="7"/>
  <c r="M96" i="7"/>
  <c r="P96" i="7" s="1"/>
  <c r="L144" i="7"/>
  <c r="O144" i="7" s="1"/>
  <c r="N32" i="7"/>
  <c r="N30" i="7" s="1"/>
  <c r="K626" i="3"/>
  <c r="K635" i="3"/>
  <c r="L24" i="4"/>
  <c r="O24" i="4" s="1"/>
  <c r="N271" i="4"/>
  <c r="N34" i="4"/>
  <c r="N14" i="4" s="1"/>
  <c r="N31" i="4"/>
  <c r="N29" i="4" s="1"/>
  <c r="K618" i="4"/>
  <c r="L70" i="5"/>
  <c r="I367" i="5"/>
  <c r="K367" i="5" s="1"/>
  <c r="L23" i="6"/>
  <c r="O23" i="6" s="1"/>
  <c r="N33" i="6"/>
  <c r="N13" i="6" s="1"/>
  <c r="O535" i="7"/>
  <c r="L32" i="7"/>
  <c r="L30" i="7" s="1"/>
  <c r="K473" i="6"/>
  <c r="O533" i="6"/>
  <c r="K622" i="6"/>
  <c r="K629" i="6"/>
  <c r="K635" i="6"/>
  <c r="L254" i="7"/>
  <c r="O254" i="7" s="1"/>
  <c r="O349" i="7"/>
  <c r="O352" i="7"/>
  <c r="N34" i="7"/>
  <c r="N14" i="7" s="1"/>
  <c r="K375" i="7"/>
  <c r="O401" i="7"/>
  <c r="O404" i="7"/>
  <c r="O439" i="7"/>
  <c r="K474" i="7"/>
  <c r="N31" i="7"/>
  <c r="N29" i="7" s="1"/>
  <c r="N28" i="7" s="1"/>
  <c r="N33" i="7"/>
  <c r="N13" i="7" s="1"/>
  <c r="M96" i="8"/>
  <c r="M142" i="8"/>
  <c r="L144" i="8"/>
  <c r="L142" i="8" s="1"/>
  <c r="N271" i="8"/>
  <c r="K380" i="8"/>
  <c r="K419" i="8"/>
  <c r="K425" i="8"/>
  <c r="K431" i="8"/>
  <c r="M41" i="9"/>
  <c r="L23" i="9"/>
  <c r="O23" i="9" s="1"/>
  <c r="L57" i="9"/>
  <c r="O224" i="9"/>
  <c r="P49" i="10"/>
  <c r="M43" i="10"/>
  <c r="M41" i="10" s="1"/>
  <c r="M55" i="12"/>
  <c r="P57" i="12"/>
  <c r="O98" i="12"/>
  <c r="L96" i="12"/>
  <c r="L94" i="12" s="1"/>
  <c r="P102" i="12"/>
  <c r="N43" i="8"/>
  <c r="N41" i="8" s="1"/>
  <c r="K270" i="8"/>
  <c r="K377" i="8"/>
  <c r="O380" i="8"/>
  <c r="K401" i="8"/>
  <c r="O406" i="8"/>
  <c r="K420" i="8"/>
  <c r="K426" i="8"/>
  <c r="K465" i="8"/>
  <c r="K474" i="8"/>
  <c r="K498" i="8"/>
  <c r="O533" i="8"/>
  <c r="O601" i="8"/>
  <c r="L24" i="9"/>
  <c r="O24" i="9" s="1"/>
  <c r="K83" i="9"/>
  <c r="M220" i="9"/>
  <c r="P314" i="9"/>
  <c r="M312" i="9"/>
  <c r="P312" i="9" s="1"/>
  <c r="O352" i="9"/>
  <c r="L32" i="9"/>
  <c r="L32" i="10"/>
  <c r="L30" i="10" s="1"/>
  <c r="N26" i="10"/>
  <c r="N16" i="10" s="1"/>
  <c r="O537" i="6"/>
  <c r="K620" i="6"/>
  <c r="K626" i="6"/>
  <c r="K633" i="6"/>
  <c r="M120" i="7"/>
  <c r="P120" i="7" s="1"/>
  <c r="N290" i="7"/>
  <c r="O347" i="7"/>
  <c r="K547" i="7"/>
  <c r="K618" i="7"/>
  <c r="K630" i="7"/>
  <c r="K633" i="7"/>
  <c r="N290" i="8"/>
  <c r="N26" i="9"/>
  <c r="N16" i="9" s="1"/>
  <c r="P55" i="9"/>
  <c r="K110" i="9"/>
  <c r="K219" i="9"/>
  <c r="N22" i="7"/>
  <c r="K229" i="7"/>
  <c r="M273" i="7"/>
  <c r="P273" i="7" s="1"/>
  <c r="M312" i="7"/>
  <c r="O568" i="7"/>
  <c r="M252" i="8"/>
  <c r="P252" i="8" s="1"/>
  <c r="O337" i="8"/>
  <c r="K597" i="8"/>
  <c r="N22" i="9"/>
  <c r="N43" i="9"/>
  <c r="O535" i="6"/>
  <c r="K624" i="6"/>
  <c r="K631" i="6"/>
  <c r="L640" i="6"/>
  <c r="L638" i="6" s="1"/>
  <c r="N140" i="7"/>
  <c r="K200" i="7"/>
  <c r="L224" i="7"/>
  <c r="L222" i="7" s="1"/>
  <c r="O435" i="7"/>
  <c r="K465" i="7"/>
  <c r="K628" i="7"/>
  <c r="K631" i="7"/>
  <c r="K634" i="7"/>
  <c r="N644" i="7"/>
  <c r="N640" i="7" s="1"/>
  <c r="N638" i="7" s="1"/>
  <c r="N636" i="7" s="1"/>
  <c r="M43" i="8"/>
  <c r="M66" i="8"/>
  <c r="P66" i="8" s="1"/>
  <c r="K117" i="8"/>
  <c r="L122" i="8"/>
  <c r="L120" i="8" s="1"/>
  <c r="K328" i="8"/>
  <c r="M337" i="8"/>
  <c r="K341" i="8"/>
  <c r="O347" i="8"/>
  <c r="K350" i="8"/>
  <c r="K381" i="8"/>
  <c r="K421" i="8"/>
  <c r="K427" i="8"/>
  <c r="P45" i="9"/>
  <c r="O98" i="9"/>
  <c r="L96" i="9"/>
  <c r="L94" i="9" s="1"/>
  <c r="M102" i="9"/>
  <c r="P102" i="9" s="1"/>
  <c r="K200" i="9"/>
  <c r="P254" i="9"/>
  <c r="M252" i="9"/>
  <c r="P275" i="9"/>
  <c r="M273" i="9"/>
  <c r="K340" i="9"/>
  <c r="N33" i="9"/>
  <c r="N13" i="9" s="1"/>
  <c r="O98" i="11"/>
  <c r="L96" i="11"/>
  <c r="L94" i="11" s="1"/>
  <c r="O94" i="11" s="1"/>
  <c r="O144" i="11"/>
  <c r="L142" i="11"/>
  <c r="L140" i="11" s="1"/>
  <c r="O294" i="11"/>
  <c r="P120" i="8"/>
  <c r="O144" i="9"/>
  <c r="L142" i="9"/>
  <c r="L140" i="9" s="1"/>
  <c r="O333" i="9"/>
  <c r="L331" i="9"/>
  <c r="L329" i="9" s="1"/>
  <c r="O383" i="9"/>
  <c r="N31" i="9"/>
  <c r="N11" i="9" s="1"/>
  <c r="N9" i="9" s="1"/>
  <c r="L98" i="10"/>
  <c r="O98" i="10" s="1"/>
  <c r="P224" i="10"/>
  <c r="L24" i="11"/>
  <c r="O24" i="11" s="1"/>
  <c r="N26" i="12"/>
  <c r="N16" i="12" s="1"/>
  <c r="O597" i="8"/>
  <c r="L31" i="9"/>
  <c r="K349" i="9"/>
  <c r="K419" i="9"/>
  <c r="K425" i="9"/>
  <c r="K431" i="9"/>
  <c r="K435" i="9"/>
  <c r="K449" i="9"/>
  <c r="K593" i="9"/>
  <c r="K618" i="9"/>
  <c r="J651" i="9"/>
  <c r="L24" i="10"/>
  <c r="O24" i="10" s="1"/>
  <c r="N41" i="10"/>
  <c r="P41" i="10" s="1"/>
  <c r="N55" i="10"/>
  <c r="N53" i="10" s="1"/>
  <c r="K229" i="10"/>
  <c r="N290" i="10"/>
  <c r="K397" i="10"/>
  <c r="O337" i="11"/>
  <c r="M337" i="11"/>
  <c r="M26" i="11" s="1"/>
  <c r="K432" i="8"/>
  <c r="N31" i="8"/>
  <c r="N11" i="8" s="1"/>
  <c r="N9" i="8" s="1"/>
  <c r="K547" i="8"/>
  <c r="P57" i="9"/>
  <c r="K111" i="9"/>
  <c r="L275" i="9"/>
  <c r="O275" i="9" s="1"/>
  <c r="K498" i="9"/>
  <c r="K616" i="9"/>
  <c r="M142" i="10"/>
  <c r="P142" i="10" s="1"/>
  <c r="M252" i="10"/>
  <c r="K416" i="10"/>
  <c r="K428" i="10"/>
  <c r="L222" i="11"/>
  <c r="O228" i="11"/>
  <c r="O439" i="11"/>
  <c r="O552" i="11"/>
  <c r="L31" i="11"/>
  <c r="L11" i="11" s="1"/>
  <c r="L9" i="11" s="1"/>
  <c r="K619" i="8"/>
  <c r="K632" i="8"/>
  <c r="K82" i="9"/>
  <c r="K164" i="9"/>
  <c r="K173" i="9"/>
  <c r="L292" i="9"/>
  <c r="O292" i="9" s="1"/>
  <c r="O404" i="9"/>
  <c r="K417" i="9"/>
  <c r="K423" i="9"/>
  <c r="K429" i="9"/>
  <c r="O455" i="9"/>
  <c r="K580" i="9"/>
  <c r="O599" i="9"/>
  <c r="K614" i="9"/>
  <c r="K621" i="9"/>
  <c r="K623" i="9"/>
  <c r="J671" i="9"/>
  <c r="K164" i="10"/>
  <c r="K173" i="10"/>
  <c r="N222" i="10"/>
  <c r="P222" i="10" s="1"/>
  <c r="L254" i="10"/>
  <c r="O254" i="10" s="1"/>
  <c r="O337" i="10"/>
  <c r="K340" i="10"/>
  <c r="O352" i="10"/>
  <c r="K426" i="10"/>
  <c r="N34" i="11"/>
  <c r="N14" i="11" s="1"/>
  <c r="K430" i="8"/>
  <c r="K455" i="8"/>
  <c r="O457" i="8"/>
  <c r="K618" i="8"/>
  <c r="L26" i="9"/>
  <c r="L16" i="9" s="1"/>
  <c r="K80" i="9"/>
  <c r="P224" i="9"/>
  <c r="N271" i="9"/>
  <c r="O354" i="9"/>
  <c r="K402" i="9"/>
  <c r="K418" i="9"/>
  <c r="K424" i="9"/>
  <c r="K430" i="9"/>
  <c r="K482" i="9"/>
  <c r="K547" i="9"/>
  <c r="O597" i="9"/>
  <c r="K612" i="9"/>
  <c r="K350" i="10"/>
  <c r="O380" i="10"/>
  <c r="O406" i="10"/>
  <c r="K424" i="10"/>
  <c r="N31" i="10"/>
  <c r="N29" i="10" s="1"/>
  <c r="K449" i="10"/>
  <c r="K533" i="10"/>
  <c r="K628" i="10"/>
  <c r="N644" i="10"/>
  <c r="N640" i="10" s="1"/>
  <c r="N638" i="10" s="1"/>
  <c r="N636" i="10" s="1"/>
  <c r="O49" i="11"/>
  <c r="K426" i="11"/>
  <c r="K432" i="11"/>
  <c r="K455" i="11"/>
  <c r="O533" i="11"/>
  <c r="K564" i="11"/>
  <c r="K634" i="11"/>
  <c r="L640" i="11"/>
  <c r="P98" i="12"/>
  <c r="K617" i="10"/>
  <c r="M120" i="11"/>
  <c r="P120" i="11" s="1"/>
  <c r="M271" i="11"/>
  <c r="P271" i="11" s="1"/>
  <c r="K381" i="11"/>
  <c r="K417" i="11"/>
  <c r="O455" i="11"/>
  <c r="N644" i="11"/>
  <c r="N640" i="11" s="1"/>
  <c r="N638" i="11" s="1"/>
  <c r="N636" i="11" s="1"/>
  <c r="M118" i="14"/>
  <c r="K625" i="10"/>
  <c r="K634" i="10"/>
  <c r="K418" i="11"/>
  <c r="K424" i="11"/>
  <c r="K430" i="11"/>
  <c r="O537" i="11"/>
  <c r="O601" i="11"/>
  <c r="P120" i="12"/>
  <c r="M118" i="12"/>
  <c r="P118" i="12" s="1"/>
  <c r="O144" i="12"/>
  <c r="L142" i="12"/>
  <c r="K547" i="10"/>
  <c r="K615" i="10"/>
  <c r="K623" i="10"/>
  <c r="K635" i="10"/>
  <c r="N22" i="11"/>
  <c r="N12" i="11" s="1"/>
  <c r="O74" i="12"/>
  <c r="K597" i="10"/>
  <c r="O599" i="10"/>
  <c r="K621" i="10"/>
  <c r="K173" i="11"/>
  <c r="K200" i="11"/>
  <c r="K416" i="11"/>
  <c r="K422" i="11"/>
  <c r="K428" i="11"/>
  <c r="N31" i="11"/>
  <c r="N29" i="11" s="1"/>
  <c r="N28" i="11" s="1"/>
  <c r="O535" i="11"/>
  <c r="O597" i="11"/>
  <c r="K111" i="12"/>
  <c r="L24" i="12"/>
  <c r="O24" i="12" s="1"/>
  <c r="M292" i="12"/>
  <c r="M329" i="12"/>
  <c r="N32" i="12"/>
  <c r="N30" i="12" s="1"/>
  <c r="K427" i="12"/>
  <c r="K618" i="12"/>
  <c r="N26" i="13"/>
  <c r="N16" i="13" s="1"/>
  <c r="K164" i="13"/>
  <c r="K173" i="13"/>
  <c r="K199" i="13"/>
  <c r="N273" i="13"/>
  <c r="N271" i="13" s="1"/>
  <c r="L294" i="13"/>
  <c r="O294" i="13" s="1"/>
  <c r="K306" i="13"/>
  <c r="O404" i="13"/>
  <c r="K425" i="13"/>
  <c r="O533" i="13"/>
  <c r="K547" i="13"/>
  <c r="K149" i="14"/>
  <c r="N33" i="14"/>
  <c r="N13" i="14" s="1"/>
  <c r="K427" i="14"/>
  <c r="K158" i="15"/>
  <c r="N222" i="15"/>
  <c r="N220" i="15" s="1"/>
  <c r="N273" i="15"/>
  <c r="N271" i="15" s="1"/>
  <c r="O405" i="15"/>
  <c r="L33" i="15"/>
  <c r="O33" i="15" s="1"/>
  <c r="K427" i="15"/>
  <c r="K112" i="12"/>
  <c r="M312" i="12"/>
  <c r="P312" i="12" s="1"/>
  <c r="K425" i="12"/>
  <c r="K564" i="12"/>
  <c r="K616" i="12"/>
  <c r="N220" i="13"/>
  <c r="O403" i="14"/>
  <c r="L31" i="14"/>
  <c r="L11" i="14" s="1"/>
  <c r="L9" i="14" s="1"/>
  <c r="O458" i="14"/>
  <c r="L33" i="14"/>
  <c r="O33" i="14" s="1"/>
  <c r="L30" i="15"/>
  <c r="L57" i="15"/>
  <c r="O57" i="15" s="1"/>
  <c r="L23" i="15"/>
  <c r="P98" i="15"/>
  <c r="M22" i="15"/>
  <c r="M96" i="15"/>
  <c r="P96" i="15" s="1"/>
  <c r="K328" i="12"/>
  <c r="K343" i="12"/>
  <c r="K423" i="12"/>
  <c r="K497" i="12"/>
  <c r="K614" i="12"/>
  <c r="K626" i="12"/>
  <c r="L57" i="13"/>
  <c r="L55" i="13" s="1"/>
  <c r="M222" i="13"/>
  <c r="P314" i="13"/>
  <c r="K340" i="13"/>
  <c r="O352" i="13"/>
  <c r="O380" i="13"/>
  <c r="K397" i="13"/>
  <c r="K401" i="13"/>
  <c r="K423" i="13"/>
  <c r="K429" i="13"/>
  <c r="K432" i="13"/>
  <c r="O459" i="13"/>
  <c r="K464" i="13"/>
  <c r="O537" i="13"/>
  <c r="L45" i="14"/>
  <c r="P122" i="14"/>
  <c r="N644" i="14"/>
  <c r="N640" i="14" s="1"/>
  <c r="N638" i="14" s="1"/>
  <c r="N636" i="14" s="1"/>
  <c r="P45" i="15"/>
  <c r="M140" i="15"/>
  <c r="L254" i="15"/>
  <c r="L252" i="15" s="1"/>
  <c r="K304" i="15"/>
  <c r="O380" i="15"/>
  <c r="K110" i="12"/>
  <c r="K113" i="12"/>
  <c r="N142" i="12"/>
  <c r="L275" i="12"/>
  <c r="L273" i="12" s="1"/>
  <c r="K341" i="12"/>
  <c r="O401" i="12"/>
  <c r="K612" i="12"/>
  <c r="K624" i="12"/>
  <c r="K229" i="13"/>
  <c r="M252" i="13"/>
  <c r="N120" i="14"/>
  <c r="P120" i="14" s="1"/>
  <c r="P254" i="14"/>
  <c r="M252" i="14"/>
  <c r="P122" i="15"/>
  <c r="N120" i="15"/>
  <c r="K369" i="15"/>
  <c r="I367" i="15"/>
  <c r="K367" i="15" s="1"/>
  <c r="L31" i="15"/>
  <c r="O456" i="15"/>
  <c r="K199" i="12"/>
  <c r="K219" i="12"/>
  <c r="L224" i="12"/>
  <c r="L222" i="12" s="1"/>
  <c r="N250" i="12"/>
  <c r="K375" i="12"/>
  <c r="K431" i="12"/>
  <c r="K622" i="12"/>
  <c r="L254" i="13"/>
  <c r="P333" i="13"/>
  <c r="K349" i="13"/>
  <c r="K421" i="13"/>
  <c r="K427" i="13"/>
  <c r="O455" i="13"/>
  <c r="O122" i="14"/>
  <c r="N252" i="14"/>
  <c r="M312" i="14"/>
  <c r="N22" i="15"/>
  <c r="K219" i="15"/>
  <c r="K340" i="15"/>
  <c r="O354" i="15"/>
  <c r="L34" i="15"/>
  <c r="O34" i="15" s="1"/>
  <c r="K435" i="15"/>
  <c r="O566" i="15"/>
  <c r="M222" i="12"/>
  <c r="N34" i="12"/>
  <c r="N14" i="12" s="1"/>
  <c r="K417" i="12"/>
  <c r="K429" i="12"/>
  <c r="K498" i="12"/>
  <c r="K620" i="12"/>
  <c r="M43" i="13"/>
  <c r="M68" i="13"/>
  <c r="M96" i="13"/>
  <c r="O314" i="13"/>
  <c r="L32" i="14"/>
  <c r="L120" i="14"/>
  <c r="L96" i="15"/>
  <c r="O96" i="15" s="1"/>
  <c r="L26" i="15"/>
  <c r="L16" i="15" s="1"/>
  <c r="O16" i="15" s="1"/>
  <c r="P224" i="15"/>
  <c r="M222" i="15"/>
  <c r="P275" i="15"/>
  <c r="M273" i="15"/>
  <c r="N32" i="15"/>
  <c r="N30" i="15" s="1"/>
  <c r="O584" i="13"/>
  <c r="K419" i="14"/>
  <c r="O435" i="14"/>
  <c r="K117" i="15"/>
  <c r="L122" i="15"/>
  <c r="O122" i="15" s="1"/>
  <c r="K189" i="15"/>
  <c r="L294" i="15"/>
  <c r="O294" i="15" s="1"/>
  <c r="K375" i="15"/>
  <c r="K416" i="15"/>
  <c r="K547" i="15"/>
  <c r="K617" i="15"/>
  <c r="J671" i="15"/>
  <c r="N22" i="14"/>
  <c r="M337" i="14"/>
  <c r="K417" i="14"/>
  <c r="K481" i="14"/>
  <c r="N53" i="15"/>
  <c r="K235" i="15"/>
  <c r="K324" i="15"/>
  <c r="K341" i="15"/>
  <c r="O347" i="15"/>
  <c r="O435" i="15"/>
  <c r="K615" i="15"/>
  <c r="J651" i="15"/>
  <c r="K199" i="14"/>
  <c r="N220" i="14"/>
  <c r="L254" i="14"/>
  <c r="O254" i="14" s="1"/>
  <c r="M292" i="14"/>
  <c r="K396" i="14"/>
  <c r="K533" i="14"/>
  <c r="O535" i="14"/>
  <c r="K564" i="14"/>
  <c r="P144" i="15"/>
  <c r="L224" i="15"/>
  <c r="M312" i="15"/>
  <c r="K428" i="15"/>
  <c r="K449" i="15"/>
  <c r="O459" i="15"/>
  <c r="K613" i="15"/>
  <c r="K628" i="13"/>
  <c r="K631" i="13"/>
  <c r="K634" i="13"/>
  <c r="K117" i="14"/>
  <c r="P275" i="14"/>
  <c r="L294" i="14"/>
  <c r="L292" i="14" s="1"/>
  <c r="K431" i="14"/>
  <c r="K473" i="14"/>
  <c r="K573" i="14"/>
  <c r="K630" i="14"/>
  <c r="P57" i="15"/>
  <c r="N140" i="15"/>
  <c r="O140" i="15" s="1"/>
  <c r="K285" i="15"/>
  <c r="L314" i="15"/>
  <c r="L312" i="15" s="1"/>
  <c r="L310" i="15" s="1"/>
  <c r="K398" i="15"/>
  <c r="O404" i="15"/>
  <c r="K465" i="15"/>
  <c r="K474" i="15"/>
  <c r="K498" i="15"/>
  <c r="O535" i="15"/>
  <c r="K611" i="15"/>
  <c r="K623" i="15"/>
  <c r="L640" i="15"/>
  <c r="L638" i="15" s="1"/>
  <c r="N644" i="15"/>
  <c r="N640" i="15" s="1"/>
  <c r="N638" i="15" s="1"/>
  <c r="N636" i="15" s="1"/>
  <c r="O21" i="1"/>
  <c r="L19" i="1"/>
  <c r="M41" i="2"/>
  <c r="M19" i="1"/>
  <c r="P21" i="1"/>
  <c r="M11" i="1"/>
  <c r="N94" i="2"/>
  <c r="O42" i="1"/>
  <c r="P29" i="1"/>
  <c r="M28" i="1"/>
  <c r="P28" i="1" s="1"/>
  <c r="N19" i="1"/>
  <c r="L43" i="2"/>
  <c r="O45" i="2"/>
  <c r="O25" i="1"/>
  <c r="L15" i="1"/>
  <c r="O15" i="1" s="1"/>
  <c r="P29" i="2"/>
  <c r="M28" i="2"/>
  <c r="P28" i="2" s="1"/>
  <c r="M14" i="1"/>
  <c r="P14" i="1" s="1"/>
  <c r="P31" i="1"/>
  <c r="P42" i="1"/>
  <c r="K620" i="1"/>
  <c r="P11" i="2"/>
  <c r="M14" i="2"/>
  <c r="P14" i="2" s="1"/>
  <c r="N22" i="2"/>
  <c r="L26" i="2"/>
  <c r="P31" i="2"/>
  <c r="P67" i="2"/>
  <c r="P294" i="2"/>
  <c r="P318" i="2"/>
  <c r="M312" i="2"/>
  <c r="M310" i="2" s="1"/>
  <c r="P29" i="3"/>
  <c r="M28" i="3"/>
  <c r="P28" i="3" s="1"/>
  <c r="O333" i="4"/>
  <c r="L331" i="4"/>
  <c r="M13" i="1"/>
  <c r="P13" i="1" s="1"/>
  <c r="O121" i="1"/>
  <c r="M13" i="2"/>
  <c r="P13" i="2" s="1"/>
  <c r="O148" i="2"/>
  <c r="O141" i="2"/>
  <c r="L94" i="3"/>
  <c r="M41" i="4"/>
  <c r="P330" i="2"/>
  <c r="M329" i="2"/>
  <c r="O32" i="2"/>
  <c r="O272" i="2"/>
  <c r="O279" i="2"/>
  <c r="N331" i="2"/>
  <c r="O337" i="2"/>
  <c r="O24" i="3"/>
  <c r="L271" i="3"/>
  <c r="M15" i="2"/>
  <c r="P15" i="2" s="1"/>
  <c r="M22" i="2"/>
  <c r="L96" i="2"/>
  <c r="M142" i="2"/>
  <c r="P66" i="3"/>
  <c r="O221" i="4"/>
  <c r="O291" i="4"/>
  <c r="O42" i="5"/>
  <c r="P68" i="5"/>
  <c r="M96" i="5"/>
  <c r="P96" i="5" s="1"/>
  <c r="P102" i="5"/>
  <c r="L32" i="6"/>
  <c r="O383" i="6"/>
  <c r="K381" i="2"/>
  <c r="K423" i="2"/>
  <c r="N22" i="3"/>
  <c r="N30" i="3"/>
  <c r="P31" i="3"/>
  <c r="P57" i="3"/>
  <c r="O102" i="3"/>
  <c r="K158" i="3"/>
  <c r="L292" i="3"/>
  <c r="K328" i="3"/>
  <c r="L640" i="3"/>
  <c r="P19" i="4"/>
  <c r="O21" i="4"/>
  <c r="L34" i="4"/>
  <c r="O34" i="4" s="1"/>
  <c r="L41" i="4"/>
  <c r="O42" i="4"/>
  <c r="M55" i="4"/>
  <c r="P57" i="4"/>
  <c r="P144" i="4"/>
  <c r="N312" i="4"/>
  <c r="O383" i="4"/>
  <c r="K455" i="4"/>
  <c r="L32" i="4"/>
  <c r="O457" i="4"/>
  <c r="K630" i="4"/>
  <c r="P21" i="5"/>
  <c r="M11" i="5"/>
  <c r="L55" i="5"/>
  <c r="L23" i="5"/>
  <c r="P95" i="5"/>
  <c r="P98" i="5"/>
  <c r="K113" i="5"/>
  <c r="L140" i="5"/>
  <c r="K164" i="5"/>
  <c r="K186" i="5"/>
  <c r="K216" i="5"/>
  <c r="M250" i="5"/>
  <c r="P250" i="5" s="1"/>
  <c r="P251" i="5"/>
  <c r="M292" i="5"/>
  <c r="O298" i="5"/>
  <c r="M310" i="5"/>
  <c r="P310" i="5" s="1"/>
  <c r="P311" i="5"/>
  <c r="P330" i="5"/>
  <c r="O49" i="6"/>
  <c r="M49" i="6"/>
  <c r="M43" i="6" s="1"/>
  <c r="L26" i="6"/>
  <c r="L19" i="7"/>
  <c r="O21" i="7"/>
  <c r="P337" i="2"/>
  <c r="K421" i="2"/>
  <c r="K455" i="2"/>
  <c r="K620" i="2"/>
  <c r="K622" i="2"/>
  <c r="K624" i="2"/>
  <c r="K626" i="2"/>
  <c r="O648" i="2"/>
  <c r="P102" i="3"/>
  <c r="L290" i="3"/>
  <c r="N34" i="3"/>
  <c r="O456" i="3"/>
  <c r="K630" i="3"/>
  <c r="K93" i="4"/>
  <c r="L98" i="4"/>
  <c r="M96" i="4"/>
  <c r="M26" i="4"/>
  <c r="M118" i="4"/>
  <c r="K158" i="4"/>
  <c r="K199" i="4"/>
  <c r="M331" i="4"/>
  <c r="M329" i="4" s="1"/>
  <c r="P329" i="4" s="1"/>
  <c r="P337" i="4"/>
  <c r="K417" i="4"/>
  <c r="K423" i="4"/>
  <c r="K429" i="4"/>
  <c r="K597" i="4"/>
  <c r="K628" i="4"/>
  <c r="L640" i="4"/>
  <c r="M14" i="5"/>
  <c r="P14" i="5" s="1"/>
  <c r="N11" i="5"/>
  <c r="N9" i="5" s="1"/>
  <c r="N43" i="5"/>
  <c r="O67" i="5"/>
  <c r="K93" i="5"/>
  <c r="K111" i="5"/>
  <c r="M120" i="5"/>
  <c r="N142" i="5"/>
  <c r="K328" i="5"/>
  <c r="P119" i="6"/>
  <c r="L31" i="6"/>
  <c r="L11" i="6" s="1"/>
  <c r="O436" i="6"/>
  <c r="O21" i="3"/>
  <c r="O221" i="3"/>
  <c r="N271" i="3"/>
  <c r="M310" i="3"/>
  <c r="P310" i="3" s="1"/>
  <c r="O45" i="4"/>
  <c r="N43" i="4"/>
  <c r="O43" i="4" s="1"/>
  <c r="O57" i="4"/>
  <c r="M310" i="4"/>
  <c r="P310" i="4" s="1"/>
  <c r="P311" i="4"/>
  <c r="P330" i="4"/>
  <c r="P19" i="5"/>
  <c r="P25" i="5"/>
  <c r="M15" i="5"/>
  <c r="P15" i="5" s="1"/>
  <c r="L96" i="5"/>
  <c r="O221" i="5"/>
  <c r="L331" i="5"/>
  <c r="M12" i="6"/>
  <c r="O122" i="7"/>
  <c r="L120" i="7"/>
  <c r="M140" i="7"/>
  <c r="L24" i="15"/>
  <c r="L45" i="15"/>
  <c r="K328" i="2"/>
  <c r="P23" i="3"/>
  <c r="M13" i="3"/>
  <c r="P13" i="3" s="1"/>
  <c r="P45" i="3"/>
  <c r="O68" i="3"/>
  <c r="M15" i="4"/>
  <c r="P15" i="4" s="1"/>
  <c r="P45" i="4"/>
  <c r="L55" i="4"/>
  <c r="L23" i="4"/>
  <c r="M250" i="4"/>
  <c r="P251" i="4"/>
  <c r="P32" i="5"/>
  <c r="M30" i="5"/>
  <c r="M55" i="5"/>
  <c r="P55" i="5" s="1"/>
  <c r="M22" i="5"/>
  <c r="P57" i="5"/>
  <c r="O119" i="5"/>
  <c r="P141" i="5"/>
  <c r="M140" i="5"/>
  <c r="O144" i="5"/>
  <c r="O291" i="5"/>
  <c r="O57" i="6"/>
  <c r="L55" i="6"/>
  <c r="L53" i="6" s="1"/>
  <c r="M28" i="7"/>
  <c r="P28" i="7" s="1"/>
  <c r="P29" i="7"/>
  <c r="K229" i="2"/>
  <c r="O385" i="2"/>
  <c r="K427" i="2"/>
  <c r="K621" i="2"/>
  <c r="K623" i="2"/>
  <c r="L26" i="3"/>
  <c r="K199" i="3"/>
  <c r="M252" i="3"/>
  <c r="M273" i="3"/>
  <c r="O291" i="3"/>
  <c r="P311" i="3"/>
  <c r="P314" i="3"/>
  <c r="I367" i="3"/>
  <c r="K367" i="3" s="1"/>
  <c r="O383" i="3"/>
  <c r="K619" i="3"/>
  <c r="K617" i="3"/>
  <c r="K615" i="3"/>
  <c r="K613" i="3"/>
  <c r="K611" i="3"/>
  <c r="L11" i="4"/>
  <c r="P21" i="4"/>
  <c r="M11" i="4"/>
  <c r="K111" i="4"/>
  <c r="K138" i="4"/>
  <c r="K380" i="4"/>
  <c r="O385" i="4"/>
  <c r="K634" i="4"/>
  <c r="L26" i="5"/>
  <c r="M41" i="5"/>
  <c r="P54" i="5"/>
  <c r="K138" i="5"/>
  <c r="P144" i="5"/>
  <c r="K176" i="5"/>
  <c r="K380" i="5"/>
  <c r="O95" i="6"/>
  <c r="O311" i="6"/>
  <c r="O385" i="6"/>
  <c r="L34" i="6"/>
  <c r="M26" i="3"/>
  <c r="K621" i="3"/>
  <c r="K623" i="3"/>
  <c r="N19" i="4"/>
  <c r="K611" i="4"/>
  <c r="K613" i="4"/>
  <c r="K615" i="4"/>
  <c r="K617" i="4"/>
  <c r="K621" i="4"/>
  <c r="K623" i="4"/>
  <c r="N19" i="5"/>
  <c r="K396" i="5"/>
  <c r="O580" i="5"/>
  <c r="K635" i="5"/>
  <c r="O21" i="6"/>
  <c r="L19" i="6"/>
  <c r="M29" i="6"/>
  <c r="N26" i="6"/>
  <c r="N16" i="6" s="1"/>
  <c r="M96" i="6"/>
  <c r="O102" i="6"/>
  <c r="K481" i="6"/>
  <c r="O649" i="6"/>
  <c r="O49" i="7"/>
  <c r="L26" i="7"/>
  <c r="O141" i="7"/>
  <c r="O148" i="7"/>
  <c r="L15" i="4"/>
  <c r="O15" i="4" s="1"/>
  <c r="L312" i="4"/>
  <c r="L15" i="5"/>
  <c r="O15" i="5" s="1"/>
  <c r="L312" i="5"/>
  <c r="O537" i="5"/>
  <c r="M11" i="6"/>
  <c r="N32" i="6"/>
  <c r="N30" i="6" s="1"/>
  <c r="O54" i="6"/>
  <c r="N55" i="6"/>
  <c r="N53" i="6" s="1"/>
  <c r="N22" i="6"/>
  <c r="P22" i="6" s="1"/>
  <c r="O251" i="6"/>
  <c r="M312" i="6"/>
  <c r="O401" i="6"/>
  <c r="O438" i="6"/>
  <c r="L33" i="6"/>
  <c r="O33" i="6" s="1"/>
  <c r="M43" i="7"/>
  <c r="P43" i="7" s="1"/>
  <c r="P45" i="7"/>
  <c r="M290" i="8"/>
  <c r="P290" i="8" s="1"/>
  <c r="P292" i="8"/>
  <c r="O535" i="5"/>
  <c r="K618" i="5"/>
  <c r="K631" i="5"/>
  <c r="P24" i="6"/>
  <c r="M14" i="6"/>
  <c r="P14" i="6" s="1"/>
  <c r="P272" i="6"/>
  <c r="M271" i="6"/>
  <c r="P271" i="6" s="1"/>
  <c r="O347" i="6"/>
  <c r="K465" i="6"/>
  <c r="O568" i="6"/>
  <c r="K618" i="6"/>
  <c r="K616" i="6"/>
  <c r="K614" i="6"/>
  <c r="K612" i="6"/>
  <c r="K619" i="6"/>
  <c r="K617" i="6"/>
  <c r="K615" i="6"/>
  <c r="K613" i="6"/>
  <c r="K611" i="6"/>
  <c r="P221" i="7"/>
  <c r="M220" i="7"/>
  <c r="O314" i="7"/>
  <c r="L312" i="7"/>
  <c r="P23" i="8"/>
  <c r="M13" i="8"/>
  <c r="P13" i="8" s="1"/>
  <c r="L32" i="5"/>
  <c r="O437" i="5"/>
  <c r="O584" i="5"/>
  <c r="L41" i="6"/>
  <c r="P67" i="6"/>
  <c r="L70" i="6"/>
  <c r="K219" i="6"/>
  <c r="O439" i="6"/>
  <c r="N34" i="6"/>
  <c r="N14" i="6" s="1"/>
  <c r="N20" i="7"/>
  <c r="O224" i="7"/>
  <c r="M220" i="8"/>
  <c r="O648" i="8"/>
  <c r="L640" i="8"/>
  <c r="M19" i="9"/>
  <c r="P21" i="9"/>
  <c r="M11" i="9"/>
  <c r="P45" i="6"/>
  <c r="N66" i="6"/>
  <c r="M252" i="6"/>
  <c r="I367" i="6"/>
  <c r="K367" i="6" s="1"/>
  <c r="L24" i="7"/>
  <c r="L23" i="7"/>
  <c r="K612" i="5"/>
  <c r="K614" i="5"/>
  <c r="K616" i="5"/>
  <c r="K620" i="5"/>
  <c r="K622" i="5"/>
  <c r="K624" i="5"/>
  <c r="O648" i="6"/>
  <c r="M19" i="7"/>
  <c r="N55" i="7"/>
  <c r="N53" i="7" s="1"/>
  <c r="M118" i="7"/>
  <c r="P118" i="7" s="1"/>
  <c r="P224" i="7"/>
  <c r="O251" i="7"/>
  <c r="K349" i="7"/>
  <c r="K401" i="7"/>
  <c r="O665" i="7"/>
  <c r="L640" i="7"/>
  <c r="O291" i="8"/>
  <c r="O298" i="8"/>
  <c r="P311" i="8"/>
  <c r="O353" i="8"/>
  <c r="L33" i="8"/>
  <c r="O33" i="8" s="1"/>
  <c r="O568" i="8"/>
  <c r="L34" i="8"/>
  <c r="N12" i="9"/>
  <c r="M13" i="6"/>
  <c r="P13" i="6" s="1"/>
  <c r="K621" i="6"/>
  <c r="K623" i="6"/>
  <c r="M11" i="7"/>
  <c r="N19" i="7"/>
  <c r="M53" i="7"/>
  <c r="P272" i="7"/>
  <c r="K449" i="7"/>
  <c r="N26" i="8"/>
  <c r="O275" i="8"/>
  <c r="M331" i="9"/>
  <c r="P337" i="9"/>
  <c r="L96" i="10"/>
  <c r="O96" i="10" s="1"/>
  <c r="L15" i="7"/>
  <c r="O15" i="7" s="1"/>
  <c r="O275" i="7"/>
  <c r="L273" i="7"/>
  <c r="O354" i="7"/>
  <c r="O406" i="7"/>
  <c r="K466" i="7"/>
  <c r="L24" i="8"/>
  <c r="L57" i="8"/>
  <c r="L23" i="8"/>
  <c r="K158" i="8"/>
  <c r="K199" i="8"/>
  <c r="N22" i="8"/>
  <c r="O351" i="8"/>
  <c r="L31" i="8"/>
  <c r="O385" i="8"/>
  <c r="N34" i="8"/>
  <c r="N14" i="8" s="1"/>
  <c r="N33" i="8"/>
  <c r="N13" i="8" s="1"/>
  <c r="O566" i="8"/>
  <c r="L32" i="8"/>
  <c r="M29" i="9"/>
  <c r="P31" i="9"/>
  <c r="P25" i="10"/>
  <c r="M15" i="10"/>
  <c r="P15" i="10" s="1"/>
  <c r="M19" i="10"/>
  <c r="P252" i="7"/>
  <c r="M250" i="7"/>
  <c r="P250" i="7" s="1"/>
  <c r="K350" i="7"/>
  <c r="K376" i="7"/>
  <c r="K402" i="7"/>
  <c r="K464" i="7"/>
  <c r="L43" i="8"/>
  <c r="O45" i="8"/>
  <c r="O221" i="8"/>
  <c r="O228" i="8"/>
  <c r="L26" i="8"/>
  <c r="L222" i="8"/>
  <c r="P251" i="8"/>
  <c r="O383" i="8"/>
  <c r="N32" i="8"/>
  <c r="N30" i="8" s="1"/>
  <c r="O74" i="9"/>
  <c r="P141" i="10"/>
  <c r="O57" i="11"/>
  <c r="L55" i="11"/>
  <c r="K626" i="7"/>
  <c r="K624" i="7"/>
  <c r="K622" i="7"/>
  <c r="K620" i="7"/>
  <c r="K625" i="7"/>
  <c r="K623" i="7"/>
  <c r="K621" i="7"/>
  <c r="M22" i="8"/>
  <c r="P224" i="8"/>
  <c r="O67" i="9"/>
  <c r="P29" i="10"/>
  <c r="O126" i="10"/>
  <c r="L120" i="10"/>
  <c r="O120" i="10" s="1"/>
  <c r="M55" i="8"/>
  <c r="K611" i="8"/>
  <c r="K613" i="8"/>
  <c r="K615" i="8"/>
  <c r="K617" i="8"/>
  <c r="M30" i="9"/>
  <c r="P30" i="9" s="1"/>
  <c r="P32" i="9"/>
  <c r="M53" i="9"/>
  <c r="P53" i="9" s="1"/>
  <c r="P54" i="9"/>
  <c r="P95" i="9"/>
  <c r="O126" i="9"/>
  <c r="P141" i="9"/>
  <c r="M30" i="10"/>
  <c r="P30" i="10" s="1"/>
  <c r="P32" i="10"/>
  <c r="M331" i="10"/>
  <c r="M329" i="10" s="1"/>
  <c r="M26" i="10"/>
  <c r="P337" i="10"/>
  <c r="O601" i="10"/>
  <c r="L34" i="10"/>
  <c r="O34" i="10" s="1"/>
  <c r="P19" i="11"/>
  <c r="L252" i="11"/>
  <c r="M118" i="8"/>
  <c r="P118" i="8" s="1"/>
  <c r="M68" i="9"/>
  <c r="M66" i="9" s="1"/>
  <c r="O119" i="9"/>
  <c r="N140" i="9"/>
  <c r="K634" i="9"/>
  <c r="M120" i="10"/>
  <c r="P120" i="10" s="1"/>
  <c r="L312" i="10"/>
  <c r="O314" i="10"/>
  <c r="N142" i="11"/>
  <c r="N140" i="11" s="1"/>
  <c r="N26" i="11"/>
  <c r="K611" i="7"/>
  <c r="K613" i="7"/>
  <c r="K615" i="7"/>
  <c r="K617" i="7"/>
  <c r="K619" i="7"/>
  <c r="P337" i="8"/>
  <c r="M15" i="9"/>
  <c r="P15" i="9" s="1"/>
  <c r="M22" i="9"/>
  <c r="K109" i="9"/>
  <c r="M118" i="9"/>
  <c r="P118" i="9" s="1"/>
  <c r="L640" i="9"/>
  <c r="L31" i="10"/>
  <c r="O61" i="10"/>
  <c r="L26" i="10"/>
  <c r="P330" i="10"/>
  <c r="P141" i="11"/>
  <c r="M9" i="8"/>
  <c r="M29" i="8"/>
  <c r="P330" i="9"/>
  <c r="P333" i="9"/>
  <c r="O384" i="9"/>
  <c r="L33" i="9"/>
  <c r="O459" i="9"/>
  <c r="L34" i="9"/>
  <c r="O34" i="9" s="1"/>
  <c r="K628" i="9"/>
  <c r="L53" i="10"/>
  <c r="M55" i="10"/>
  <c r="P57" i="10"/>
  <c r="M22" i="10"/>
  <c r="O119" i="10"/>
  <c r="N140" i="10"/>
  <c r="N22" i="10"/>
  <c r="L273" i="10"/>
  <c r="O273" i="10" s="1"/>
  <c r="O275" i="10"/>
  <c r="N331" i="10"/>
  <c r="N329" i="10" s="1"/>
  <c r="O384" i="10"/>
  <c r="L33" i="10"/>
  <c r="O33" i="10" s="1"/>
  <c r="K612" i="7"/>
  <c r="K614" i="7"/>
  <c r="K616" i="7"/>
  <c r="L70" i="10"/>
  <c r="L23" i="10"/>
  <c r="O459" i="11"/>
  <c r="L34" i="11"/>
  <c r="L14" i="11" s="1"/>
  <c r="O31" i="11"/>
  <c r="K164" i="11"/>
  <c r="N329" i="11"/>
  <c r="K630" i="11"/>
  <c r="P119" i="9"/>
  <c r="P119" i="10"/>
  <c r="L142" i="10"/>
  <c r="M55" i="11"/>
  <c r="P57" i="11"/>
  <c r="M22" i="11"/>
  <c r="L70" i="11"/>
  <c r="L23" i="11"/>
  <c r="O122" i="11"/>
  <c r="L120" i="11"/>
  <c r="O120" i="11" s="1"/>
  <c r="P21" i="12"/>
  <c r="M19" i="12"/>
  <c r="M11" i="12"/>
  <c r="P34" i="13"/>
  <c r="M14" i="13"/>
  <c r="P14" i="13" s="1"/>
  <c r="O142" i="13"/>
  <c r="O671" i="10"/>
  <c r="L640" i="10"/>
  <c r="M30" i="11"/>
  <c r="P32" i="11"/>
  <c r="P49" i="11"/>
  <c r="M43" i="11"/>
  <c r="K397" i="11"/>
  <c r="K435" i="11"/>
  <c r="N11" i="11"/>
  <c r="N9" i="11" s="1"/>
  <c r="L24" i="13"/>
  <c r="L98" i="13"/>
  <c r="K611" i="9"/>
  <c r="K613" i="9"/>
  <c r="K615" i="9"/>
  <c r="K617" i="9"/>
  <c r="M11" i="10"/>
  <c r="N19" i="10"/>
  <c r="O119" i="11"/>
  <c r="L312" i="11"/>
  <c r="O314" i="11"/>
  <c r="O457" i="11"/>
  <c r="L32" i="11"/>
  <c r="K619" i="11"/>
  <c r="O640" i="11"/>
  <c r="L638" i="11"/>
  <c r="O19" i="12"/>
  <c r="O333" i="12"/>
  <c r="L15" i="10"/>
  <c r="O15" i="10" s="1"/>
  <c r="P25" i="11"/>
  <c r="M15" i="11"/>
  <c r="O61" i="11"/>
  <c r="L26" i="11"/>
  <c r="P330" i="11"/>
  <c r="P333" i="11"/>
  <c r="O384" i="11"/>
  <c r="L33" i="11"/>
  <c r="O33" i="11" s="1"/>
  <c r="K573" i="11"/>
  <c r="K632" i="11"/>
  <c r="O61" i="13"/>
  <c r="L26" i="13"/>
  <c r="N43" i="12"/>
  <c r="N41" i="12" s="1"/>
  <c r="M19" i="13"/>
  <c r="P21" i="13"/>
  <c r="M11" i="13"/>
  <c r="L70" i="13"/>
  <c r="L23" i="13"/>
  <c r="M30" i="14"/>
  <c r="P30" i="14" s="1"/>
  <c r="P32" i="14"/>
  <c r="K612" i="10"/>
  <c r="K614" i="10"/>
  <c r="K616" i="10"/>
  <c r="K620" i="10"/>
  <c r="K622" i="10"/>
  <c r="K624" i="10"/>
  <c r="K612" i="11"/>
  <c r="K614" i="11"/>
  <c r="K616" i="11"/>
  <c r="K618" i="11"/>
  <c r="L57" i="12"/>
  <c r="L23" i="12"/>
  <c r="K229" i="12"/>
  <c r="N31" i="12"/>
  <c r="N33" i="12"/>
  <c r="N13" i="12" s="1"/>
  <c r="O119" i="13"/>
  <c r="M140" i="13"/>
  <c r="P141" i="13"/>
  <c r="O144" i="13"/>
  <c r="P25" i="14"/>
  <c r="M15" i="14"/>
  <c r="P15" i="14" s="1"/>
  <c r="M19" i="14"/>
  <c r="N43" i="11"/>
  <c r="O272" i="12"/>
  <c r="M22" i="12"/>
  <c r="P275" i="12"/>
  <c r="O351" i="12"/>
  <c r="L31" i="12"/>
  <c r="O385" i="12"/>
  <c r="M41" i="13"/>
  <c r="N140" i="13"/>
  <c r="O140" i="13" s="1"/>
  <c r="P144" i="13"/>
  <c r="K176" i="13"/>
  <c r="L252" i="13"/>
  <c r="O254" i="13"/>
  <c r="P330" i="13"/>
  <c r="O601" i="13"/>
  <c r="L34" i="13"/>
  <c r="O34" i="13" s="1"/>
  <c r="K611" i="11"/>
  <c r="K613" i="11"/>
  <c r="K615" i="11"/>
  <c r="K617" i="11"/>
  <c r="P49" i="12"/>
  <c r="L252" i="12"/>
  <c r="O568" i="12"/>
  <c r="L34" i="12"/>
  <c r="O42" i="13"/>
  <c r="O122" i="13"/>
  <c r="P142" i="13"/>
  <c r="O42" i="12"/>
  <c r="P45" i="12"/>
  <c r="M273" i="12"/>
  <c r="P273" i="12" s="1"/>
  <c r="K380" i="12"/>
  <c r="O566" i="12"/>
  <c r="L32" i="12"/>
  <c r="O648" i="12"/>
  <c r="L640" i="12"/>
  <c r="N43" i="13"/>
  <c r="N41" i="13" s="1"/>
  <c r="M55" i="13"/>
  <c r="M22" i="13"/>
  <c r="P57" i="13"/>
  <c r="M120" i="13"/>
  <c r="P54" i="14"/>
  <c r="K611" i="12"/>
  <c r="K613" i="12"/>
  <c r="K615" i="12"/>
  <c r="K617" i="12"/>
  <c r="K621" i="12"/>
  <c r="K623" i="12"/>
  <c r="M66" i="14"/>
  <c r="P66" i="14" s="1"/>
  <c r="P70" i="14"/>
  <c r="M22" i="14"/>
  <c r="M94" i="14"/>
  <c r="P94" i="14" s="1"/>
  <c r="P95" i="14"/>
  <c r="O272" i="14"/>
  <c r="M30" i="12"/>
  <c r="P42" i="12"/>
  <c r="P272" i="12"/>
  <c r="O311" i="12"/>
  <c r="O19" i="13"/>
  <c r="M271" i="13"/>
  <c r="P272" i="13"/>
  <c r="P275" i="13"/>
  <c r="K630" i="13"/>
  <c r="L640" i="14"/>
  <c r="O665" i="14"/>
  <c r="M331" i="13"/>
  <c r="P337" i="13"/>
  <c r="K573" i="13"/>
  <c r="K580" i="13"/>
  <c r="K340" i="14"/>
  <c r="O584" i="14"/>
  <c r="L34" i="14"/>
  <c r="L640" i="13"/>
  <c r="O74" i="14"/>
  <c r="L68" i="14"/>
  <c r="O68" i="14" s="1"/>
  <c r="L26" i="14"/>
  <c r="N96" i="14"/>
  <c r="M271" i="14"/>
  <c r="O279" i="13"/>
  <c r="L310" i="13"/>
  <c r="M312" i="13"/>
  <c r="P318" i="13"/>
  <c r="O24" i="14"/>
  <c r="O67" i="14"/>
  <c r="K132" i="14"/>
  <c r="L224" i="14"/>
  <c r="L23" i="14"/>
  <c r="M9" i="14"/>
  <c r="M29" i="14"/>
  <c r="M331" i="14"/>
  <c r="K547" i="14"/>
  <c r="O311" i="13"/>
  <c r="O318" i="13"/>
  <c r="K612" i="13"/>
  <c r="K614" i="13"/>
  <c r="K616" i="13"/>
  <c r="K618" i="13"/>
  <c r="K620" i="13"/>
  <c r="K622" i="13"/>
  <c r="K624" i="13"/>
  <c r="K626" i="13"/>
  <c r="P67" i="14"/>
  <c r="M220" i="14"/>
  <c r="P220" i="14" s="1"/>
  <c r="K474" i="14"/>
  <c r="O70" i="15"/>
  <c r="L68" i="15"/>
  <c r="O68" i="15" s="1"/>
  <c r="M55" i="14"/>
  <c r="P29" i="15"/>
  <c r="M28" i="15"/>
  <c r="P28" i="15" s="1"/>
  <c r="K611" i="13"/>
  <c r="K613" i="13"/>
  <c r="K615" i="13"/>
  <c r="K617" i="13"/>
  <c r="K621" i="13"/>
  <c r="K623" i="13"/>
  <c r="O224" i="15"/>
  <c r="L222" i="15"/>
  <c r="K402" i="14"/>
  <c r="K464" i="14"/>
  <c r="K482" i="14"/>
  <c r="K625" i="14"/>
  <c r="K623" i="14"/>
  <c r="K621" i="14"/>
  <c r="K626" i="14"/>
  <c r="K624" i="14"/>
  <c r="K622" i="14"/>
  <c r="K620" i="14"/>
  <c r="P23" i="15"/>
  <c r="M13" i="15"/>
  <c r="P13" i="15" s="1"/>
  <c r="K612" i="14"/>
  <c r="K614" i="14"/>
  <c r="K616" i="14"/>
  <c r="K618" i="14"/>
  <c r="P11" i="15"/>
  <c r="P31" i="15"/>
  <c r="P67" i="15"/>
  <c r="O95" i="15"/>
  <c r="O254" i="15"/>
  <c r="M55" i="15"/>
  <c r="P55" i="15" s="1"/>
  <c r="P252" i="15"/>
  <c r="M250" i="15"/>
  <c r="P250" i="15" s="1"/>
  <c r="O330" i="15"/>
  <c r="O337" i="15"/>
  <c r="M337" i="15"/>
  <c r="L331" i="15"/>
  <c r="K611" i="14"/>
  <c r="K613" i="14"/>
  <c r="K615" i="14"/>
  <c r="K617" i="14"/>
  <c r="O251" i="15"/>
  <c r="P272" i="15"/>
  <c r="O401" i="15"/>
  <c r="O102" i="15"/>
  <c r="P119" i="15"/>
  <c r="M118" i="15"/>
  <c r="O601" i="15"/>
  <c r="M15" i="15"/>
  <c r="P15" i="15" s="1"/>
  <c r="K200" i="15"/>
  <c r="K450" i="15"/>
  <c r="O640" i="15"/>
  <c r="K612" i="15"/>
  <c r="K614" i="15"/>
  <c r="K616" i="15"/>
  <c r="K620" i="15"/>
  <c r="K622" i="15"/>
  <c r="K624" i="15"/>
  <c r="P55" i="14" l="1"/>
  <c r="O55" i="14"/>
  <c r="O34" i="14"/>
  <c r="P331" i="13"/>
  <c r="M26" i="5"/>
  <c r="N140" i="4"/>
  <c r="P140" i="4" s="1"/>
  <c r="K614" i="1"/>
  <c r="P222" i="6"/>
  <c r="O294" i="6"/>
  <c r="P314" i="1"/>
  <c r="O294" i="2"/>
  <c r="L43" i="10"/>
  <c r="O43" i="10" s="1"/>
  <c r="M329" i="5"/>
  <c r="P329" i="5" s="1"/>
  <c r="O640" i="2"/>
  <c r="L96" i="14"/>
  <c r="O222" i="12"/>
  <c r="O43" i="7"/>
  <c r="P220" i="6"/>
  <c r="P43" i="3"/>
  <c r="P337" i="5"/>
  <c r="O43" i="11"/>
  <c r="O224" i="2"/>
  <c r="L273" i="2"/>
  <c r="L271" i="2" s="1"/>
  <c r="P222" i="12"/>
  <c r="O331" i="13"/>
  <c r="L96" i="8"/>
  <c r="O96" i="8" s="1"/>
  <c r="L222" i="6"/>
  <c r="O568" i="1"/>
  <c r="K421" i="1"/>
  <c r="O45" i="13"/>
  <c r="P57" i="1"/>
  <c r="K185" i="1"/>
  <c r="K149" i="1"/>
  <c r="O70" i="4"/>
  <c r="O34" i="3"/>
  <c r="O333" i="13"/>
  <c r="L120" i="12"/>
  <c r="O45" i="11"/>
  <c r="L68" i="12"/>
  <c r="M66" i="2"/>
  <c r="P66" i="2" s="1"/>
  <c r="K622" i="1"/>
  <c r="O584" i="1"/>
  <c r="K426" i="1"/>
  <c r="K88" i="1"/>
  <c r="K265" i="1"/>
  <c r="K402" i="1"/>
  <c r="K80" i="1"/>
  <c r="O331" i="15"/>
  <c r="L292" i="13"/>
  <c r="L312" i="12"/>
  <c r="O312" i="12" s="1"/>
  <c r="L120" i="9"/>
  <c r="O120" i="9" s="1"/>
  <c r="O294" i="7"/>
  <c r="P222" i="7"/>
  <c r="L273" i="6"/>
  <c r="O273" i="6" s="1"/>
  <c r="P220" i="7"/>
  <c r="L55" i="3"/>
  <c r="L222" i="10"/>
  <c r="L220" i="10" s="1"/>
  <c r="K65" i="1"/>
  <c r="O649" i="1"/>
  <c r="K82" i="1"/>
  <c r="K616" i="1"/>
  <c r="K201" i="1"/>
  <c r="L252" i="10"/>
  <c r="O254" i="6"/>
  <c r="N250" i="4"/>
  <c r="P222" i="4"/>
  <c r="K117" i="1"/>
  <c r="K345" i="1"/>
  <c r="O290" i="3"/>
  <c r="L142" i="2"/>
  <c r="P329" i="12"/>
  <c r="P252" i="9"/>
  <c r="P142" i="8"/>
  <c r="O314" i="8"/>
  <c r="K422" i="1"/>
  <c r="O68" i="8"/>
  <c r="O275" i="4"/>
  <c r="N33" i="1"/>
  <c r="N13" i="1" s="1"/>
  <c r="L290" i="4"/>
  <c r="O290" i="4" s="1"/>
  <c r="K86" i="1"/>
  <c r="K419" i="1"/>
  <c r="K173" i="1"/>
  <c r="L94" i="15"/>
  <c r="O94" i="15" s="1"/>
  <c r="O57" i="7"/>
  <c r="O45" i="6"/>
  <c r="O292" i="3"/>
  <c r="P22" i="3"/>
  <c r="L331" i="11"/>
  <c r="L329" i="11" s="1"/>
  <c r="O329" i="11" s="1"/>
  <c r="P222" i="9"/>
  <c r="K595" i="1"/>
  <c r="K186" i="1"/>
  <c r="K430" i="1"/>
  <c r="P331" i="12"/>
  <c r="O273" i="4"/>
  <c r="K465" i="1"/>
  <c r="L273" i="15"/>
  <c r="O273" i="15" s="1"/>
  <c r="K396" i="1"/>
  <c r="P70" i="1"/>
  <c r="K216" i="1"/>
  <c r="O564" i="1"/>
  <c r="O349" i="1"/>
  <c r="K229" i="1"/>
  <c r="L24" i="1"/>
  <c r="O24" i="1" s="1"/>
  <c r="O222" i="9"/>
  <c r="P16" i="13"/>
  <c r="K176" i="1"/>
  <c r="K309" i="1"/>
  <c r="K350" i="1"/>
  <c r="O401" i="1"/>
  <c r="K235" i="1"/>
  <c r="O333" i="8"/>
  <c r="M53" i="5"/>
  <c r="P53" i="5" s="1"/>
  <c r="N28" i="2"/>
  <c r="O43" i="5"/>
  <c r="O294" i="10"/>
  <c r="L96" i="6"/>
  <c r="O96" i="6" s="1"/>
  <c r="N140" i="6"/>
  <c r="O140" i="6" s="1"/>
  <c r="M94" i="11"/>
  <c r="P94" i="11" s="1"/>
  <c r="N11" i="2"/>
  <c r="N9" i="2" s="1"/>
  <c r="O142" i="15"/>
  <c r="L331" i="14"/>
  <c r="O331" i="14" s="1"/>
  <c r="L273" i="14"/>
  <c r="O273" i="14" s="1"/>
  <c r="O45" i="5"/>
  <c r="O43" i="9"/>
  <c r="N28" i="14"/>
  <c r="K633" i="1"/>
  <c r="O459" i="1"/>
  <c r="K266" i="1"/>
  <c r="K108" i="1"/>
  <c r="O294" i="12"/>
  <c r="O254" i="9"/>
  <c r="L252" i="5"/>
  <c r="O252" i="5" s="1"/>
  <c r="L142" i="4"/>
  <c r="L140" i="4" s="1"/>
  <c r="O122" i="5"/>
  <c r="N22" i="1"/>
  <c r="P43" i="2"/>
  <c r="K417" i="1"/>
  <c r="K451" i="1"/>
  <c r="K133" i="1"/>
  <c r="M94" i="10"/>
  <c r="P94" i="10" s="1"/>
  <c r="P331" i="14"/>
  <c r="L66" i="7"/>
  <c r="O66" i="7" s="1"/>
  <c r="M66" i="6"/>
  <c r="P66" i="6" s="1"/>
  <c r="O312" i="13"/>
  <c r="O32" i="15"/>
  <c r="P142" i="9"/>
  <c r="O45" i="9"/>
  <c r="P333" i="1"/>
  <c r="K289" i="1"/>
  <c r="O43" i="12"/>
  <c r="O435" i="1"/>
  <c r="K625" i="1"/>
  <c r="K615" i="1"/>
  <c r="N644" i="1"/>
  <c r="N640" i="1" s="1"/>
  <c r="N638" i="1" s="1"/>
  <c r="N636" i="1" s="1"/>
  <c r="K613" i="1"/>
  <c r="O537" i="1"/>
  <c r="O310" i="13"/>
  <c r="P26" i="13"/>
  <c r="L292" i="8"/>
  <c r="O292" i="8" s="1"/>
  <c r="L222" i="4"/>
  <c r="O222" i="4" s="1"/>
  <c r="K270" i="1"/>
  <c r="O34" i="2"/>
  <c r="L41" i="12"/>
  <c r="L273" i="9"/>
  <c r="O122" i="4"/>
  <c r="L68" i="2"/>
  <c r="O68" i="2" s="1"/>
  <c r="K113" i="1"/>
  <c r="K341" i="1"/>
  <c r="K612" i="1"/>
  <c r="K591" i="1"/>
  <c r="O580" i="1"/>
  <c r="N41" i="15"/>
  <c r="P41" i="15" s="1"/>
  <c r="O275" i="13"/>
  <c r="O45" i="12"/>
  <c r="M41" i="7"/>
  <c r="L252" i="7"/>
  <c r="O252" i="7" s="1"/>
  <c r="M290" i="4"/>
  <c r="P290" i="4" s="1"/>
  <c r="N28" i="15"/>
  <c r="O329" i="9"/>
  <c r="O11" i="14"/>
  <c r="O31" i="5"/>
  <c r="P55" i="4"/>
  <c r="K429" i="1"/>
  <c r="O31" i="14"/>
  <c r="L312" i="14"/>
  <c r="O312" i="14" s="1"/>
  <c r="O275" i="11"/>
  <c r="N29" i="6"/>
  <c r="N28" i="6" s="1"/>
  <c r="M329" i="14"/>
  <c r="P329" i="14" s="1"/>
  <c r="L29" i="14"/>
  <c r="P271" i="14"/>
  <c r="N41" i="9"/>
  <c r="O41" i="9" s="1"/>
  <c r="O30" i="13"/>
  <c r="P53" i="1"/>
  <c r="O329" i="8"/>
  <c r="O102" i="1"/>
  <c r="M118" i="6"/>
  <c r="P118" i="6" s="1"/>
  <c r="N28" i="10"/>
  <c r="P273" i="8"/>
  <c r="N20" i="13"/>
  <c r="N18" i="13" s="1"/>
  <c r="K593" i="1"/>
  <c r="K634" i="1"/>
  <c r="K376" i="1"/>
  <c r="M53" i="15"/>
  <c r="P53" i="15" s="1"/>
  <c r="M26" i="12"/>
  <c r="M16" i="12" s="1"/>
  <c r="P16" i="12" s="1"/>
  <c r="L29" i="11"/>
  <c r="O29" i="11" s="1"/>
  <c r="P66" i="9"/>
  <c r="O43" i="8"/>
  <c r="M26" i="9"/>
  <c r="P26" i="9" s="1"/>
  <c r="N12" i="7"/>
  <c r="N10" i="7" s="1"/>
  <c r="O314" i="6"/>
  <c r="L14" i="5"/>
  <c r="O14" i="5" s="1"/>
  <c r="L220" i="5"/>
  <c r="O220" i="5" s="1"/>
  <c r="P222" i="3"/>
  <c r="L34" i="1"/>
  <c r="L43" i="3"/>
  <c r="M271" i="8"/>
  <c r="P271" i="8" s="1"/>
  <c r="N28" i="4"/>
  <c r="K649" i="1"/>
  <c r="K110" i="1"/>
  <c r="P120" i="2"/>
  <c r="O144" i="6"/>
  <c r="P220" i="2"/>
  <c r="P298" i="1"/>
  <c r="K611" i="1"/>
  <c r="L32" i="1"/>
  <c r="O597" i="1"/>
  <c r="O648" i="1"/>
  <c r="O331" i="6"/>
  <c r="M310" i="9"/>
  <c r="P310" i="9" s="1"/>
  <c r="O11" i="11"/>
  <c r="L22" i="10"/>
  <c r="O22" i="10" s="1"/>
  <c r="O331" i="9"/>
  <c r="O222" i="8"/>
  <c r="N10" i="9"/>
  <c r="N8" i="9" s="1"/>
  <c r="M310" i="8"/>
  <c r="P310" i="8" s="1"/>
  <c r="O26" i="9"/>
  <c r="P222" i="8"/>
  <c r="O331" i="3"/>
  <c r="P22" i="4"/>
  <c r="N26" i="1"/>
  <c r="N16" i="1" s="1"/>
  <c r="M290" i="9"/>
  <c r="P290" i="9" s="1"/>
  <c r="L638" i="5"/>
  <c r="N11" i="7"/>
  <c r="N9" i="7" s="1"/>
  <c r="N8" i="7" s="1"/>
  <c r="O254" i="4"/>
  <c r="L22" i="2"/>
  <c r="O22" i="2" s="1"/>
  <c r="N11" i="15"/>
  <c r="N9" i="15" s="1"/>
  <c r="L290" i="9"/>
  <c r="O290" i="9" s="1"/>
  <c r="L331" i="10"/>
  <c r="O331" i="10" s="1"/>
  <c r="O68" i="9"/>
  <c r="K624" i="1"/>
  <c r="O599" i="1"/>
  <c r="O122" i="6"/>
  <c r="O271" i="8"/>
  <c r="P22" i="7"/>
  <c r="J671" i="1"/>
  <c r="O329" i="7"/>
  <c r="P68" i="10"/>
  <c r="M66" i="10"/>
  <c r="P66" i="10" s="1"/>
  <c r="N29" i="8"/>
  <c r="O26" i="4"/>
  <c r="O120" i="13"/>
  <c r="P220" i="8"/>
  <c r="N12" i="4"/>
  <c r="P12" i="4" s="1"/>
  <c r="N12" i="5"/>
  <c r="N10" i="5" s="1"/>
  <c r="N8" i="5" s="1"/>
  <c r="P273" i="14"/>
  <c r="P120" i="13"/>
  <c r="O275" i="12"/>
  <c r="O57" i="13"/>
  <c r="L220" i="9"/>
  <c r="O220" i="9" s="1"/>
  <c r="L22" i="11"/>
  <c r="L12" i="11" s="1"/>
  <c r="O224" i="12"/>
  <c r="M96" i="9"/>
  <c r="P96" i="9" s="1"/>
  <c r="O140" i="11"/>
  <c r="O140" i="9"/>
  <c r="P331" i="9"/>
  <c r="M94" i="7"/>
  <c r="P94" i="7" s="1"/>
  <c r="L45" i="1"/>
  <c r="L43" i="1" s="1"/>
  <c r="N252" i="1"/>
  <c r="O222" i="11"/>
  <c r="K481" i="1"/>
  <c r="L142" i="3"/>
  <c r="L140" i="3" s="1"/>
  <c r="O140" i="3" s="1"/>
  <c r="L22" i="9"/>
  <c r="O22" i="9" s="1"/>
  <c r="N31" i="1"/>
  <c r="N29" i="1" s="1"/>
  <c r="K628" i="1"/>
  <c r="P312" i="10"/>
  <c r="M310" i="10"/>
  <c r="P310" i="10" s="1"/>
  <c r="J651" i="1"/>
  <c r="P55" i="6"/>
  <c r="L13" i="2"/>
  <c r="O13" i="2" s="1"/>
  <c r="L55" i="2"/>
  <c r="L53" i="2" s="1"/>
  <c r="O53" i="2" s="1"/>
  <c r="N12" i="12"/>
  <c r="N10" i="12" s="1"/>
  <c r="K648" i="1"/>
  <c r="N68" i="1"/>
  <c r="K618" i="1"/>
  <c r="M292" i="15"/>
  <c r="K533" i="1"/>
  <c r="L66" i="2"/>
  <c r="O57" i="2"/>
  <c r="N53" i="3"/>
  <c r="P53" i="3" s="1"/>
  <c r="P68" i="3"/>
  <c r="P337" i="11"/>
  <c r="O43" i="13"/>
  <c r="O26" i="12"/>
  <c r="M331" i="11"/>
  <c r="P331" i="11" s="1"/>
  <c r="L66" i="9"/>
  <c r="O66" i="9" s="1"/>
  <c r="M94" i="5"/>
  <c r="P94" i="5" s="1"/>
  <c r="O310" i="15"/>
  <c r="O333" i="7"/>
  <c r="P220" i="9"/>
  <c r="N28" i="5"/>
  <c r="P41" i="3"/>
  <c r="O535" i="1"/>
  <c r="O16" i="4"/>
  <c r="P312" i="3"/>
  <c r="M118" i="10"/>
  <c r="P118" i="10" s="1"/>
  <c r="N29" i="9"/>
  <c r="N28" i="9" s="1"/>
  <c r="O32" i="13"/>
  <c r="O94" i="9"/>
  <c r="O32" i="7"/>
  <c r="P142" i="14"/>
  <c r="M140" i="14"/>
  <c r="P140" i="14" s="1"/>
  <c r="L14" i="14"/>
  <c r="O14" i="14" s="1"/>
  <c r="L250" i="6"/>
  <c r="O250" i="6" s="1"/>
  <c r="L66" i="4"/>
  <c r="O66" i="4" s="1"/>
  <c r="P43" i="5"/>
  <c r="L23" i="1"/>
  <c r="O23" i="1" s="1"/>
  <c r="P68" i="12"/>
  <c r="M66" i="12"/>
  <c r="P66" i="12" s="1"/>
  <c r="P96" i="2"/>
  <c r="M94" i="2"/>
  <c r="P94" i="2" s="1"/>
  <c r="O120" i="8"/>
  <c r="L118" i="8"/>
  <c r="O118" i="8" s="1"/>
  <c r="K369" i="1"/>
  <c r="I367" i="1"/>
  <c r="K367" i="1" s="1"/>
  <c r="N96" i="1"/>
  <c r="P271" i="13"/>
  <c r="O142" i="11"/>
  <c r="N12" i="13"/>
  <c r="N10" i="13" s="1"/>
  <c r="N8" i="13" s="1"/>
  <c r="M329" i="9"/>
  <c r="L41" i="8"/>
  <c r="O41" i="8" s="1"/>
  <c r="M53" i="4"/>
  <c r="P53" i="4" s="1"/>
  <c r="L222" i="3"/>
  <c r="O30" i="15"/>
  <c r="L222" i="13"/>
  <c r="O222" i="13" s="1"/>
  <c r="O16" i="9"/>
  <c r="P43" i="9"/>
  <c r="L252" i="8"/>
  <c r="L29" i="7"/>
  <c r="O29" i="7" s="1"/>
  <c r="N32" i="1"/>
  <c r="N30" i="1" s="1"/>
  <c r="P45" i="1"/>
  <c r="O337" i="1"/>
  <c r="O14" i="11"/>
  <c r="P142" i="11"/>
  <c r="O314" i="9"/>
  <c r="O96" i="9"/>
  <c r="L118" i="9"/>
  <c r="O118" i="9" s="1"/>
  <c r="L41" i="7"/>
  <c r="L22" i="7"/>
  <c r="L12" i="7" s="1"/>
  <c r="O98" i="7"/>
  <c r="O30" i="3"/>
  <c r="O96" i="3"/>
  <c r="N11" i="1"/>
  <c r="N9" i="1" s="1"/>
  <c r="P273" i="15"/>
  <c r="N28" i="13"/>
  <c r="N11" i="10"/>
  <c r="N9" i="10" s="1"/>
  <c r="O94" i="12"/>
  <c r="L14" i="2"/>
  <c r="O14" i="2" s="1"/>
  <c r="L312" i="3"/>
  <c r="P222" i="11"/>
  <c r="M220" i="11"/>
  <c r="P220" i="11" s="1"/>
  <c r="P252" i="12"/>
  <c r="M250" i="12"/>
  <c r="P250" i="12" s="1"/>
  <c r="O26" i="15"/>
  <c r="L22" i="13"/>
  <c r="O22" i="13" s="1"/>
  <c r="M118" i="11"/>
  <c r="P118" i="11" s="1"/>
  <c r="O34" i="11"/>
  <c r="O53" i="10"/>
  <c r="O122" i="8"/>
  <c r="P140" i="7"/>
  <c r="L11" i="7"/>
  <c r="L9" i="7" s="1"/>
  <c r="O94" i="3"/>
  <c r="M290" i="2"/>
  <c r="P290" i="2" s="1"/>
  <c r="L140" i="14"/>
  <c r="O140" i="14" s="1"/>
  <c r="P292" i="13"/>
  <c r="L292" i="5"/>
  <c r="O331" i="7"/>
  <c r="K629" i="1"/>
  <c r="N292" i="1"/>
  <c r="O31" i="13"/>
  <c r="L29" i="13"/>
  <c r="N220" i="10"/>
  <c r="N220" i="1" s="1"/>
  <c r="L292" i="15"/>
  <c r="O292" i="15" s="1"/>
  <c r="L312" i="9"/>
  <c r="M140" i="10"/>
  <c r="P140" i="10" s="1"/>
  <c r="L55" i="15"/>
  <c r="L53" i="15" s="1"/>
  <c r="O53" i="15" s="1"/>
  <c r="L220" i="12"/>
  <c r="O220" i="12" s="1"/>
  <c r="P43" i="12"/>
  <c r="P43" i="10"/>
  <c r="L290" i="8"/>
  <c r="O290" i="8" s="1"/>
  <c r="O331" i="8"/>
  <c r="P140" i="6"/>
  <c r="M12" i="7"/>
  <c r="P250" i="4"/>
  <c r="M220" i="5"/>
  <c r="P220" i="5" s="1"/>
  <c r="L118" i="4"/>
  <c r="O118" i="4" s="1"/>
  <c r="M271" i="2"/>
  <c r="P271" i="2" s="1"/>
  <c r="N118" i="14"/>
  <c r="P118" i="14" s="1"/>
  <c r="N37" i="8"/>
  <c r="O34" i="7"/>
  <c r="L22" i="5"/>
  <c r="L12" i="5" s="1"/>
  <c r="L275" i="1"/>
  <c r="O275" i="1" s="1"/>
  <c r="O142" i="6"/>
  <c r="M26" i="2"/>
  <c r="M20" i="2" s="1"/>
  <c r="O437" i="1"/>
  <c r="M271" i="10"/>
  <c r="P271" i="10" s="1"/>
  <c r="P273" i="10"/>
  <c r="M66" i="4"/>
  <c r="P66" i="4" s="1"/>
  <c r="P68" i="4"/>
  <c r="O30" i="10"/>
  <c r="O142" i="9"/>
  <c r="O640" i="6"/>
  <c r="O120" i="3"/>
  <c r="P43" i="13"/>
  <c r="N66" i="13"/>
  <c r="N37" i="13" s="1"/>
  <c r="L294" i="1"/>
  <c r="O294" i="1" s="1"/>
  <c r="O273" i="8"/>
  <c r="O32" i="10"/>
  <c r="M66" i="7"/>
  <c r="P66" i="7" s="1"/>
  <c r="L22" i="3"/>
  <c r="O22" i="3" s="1"/>
  <c r="L333" i="1"/>
  <c r="O333" i="1" s="1"/>
  <c r="N11" i="4"/>
  <c r="N9" i="4" s="1"/>
  <c r="P43" i="14"/>
  <c r="M41" i="14"/>
  <c r="P41" i="14" s="1"/>
  <c r="P292" i="11"/>
  <c r="M290" i="11"/>
  <c r="P290" i="11" s="1"/>
  <c r="K626" i="1"/>
  <c r="K623" i="1"/>
  <c r="O120" i="5"/>
  <c r="L118" i="5"/>
  <c r="O118" i="5" s="1"/>
  <c r="O273" i="12"/>
  <c r="L271" i="12"/>
  <c r="O271" i="12" s="1"/>
  <c r="O252" i="15"/>
  <c r="L250" i="15"/>
  <c r="O250" i="15" s="1"/>
  <c r="M290" i="14"/>
  <c r="P290" i="14" s="1"/>
  <c r="P292" i="14"/>
  <c r="O96" i="11"/>
  <c r="O292" i="10"/>
  <c r="L13" i="6"/>
  <c r="O13" i="6" s="1"/>
  <c r="O144" i="8"/>
  <c r="P222" i="13"/>
  <c r="M220" i="13"/>
  <c r="P220" i="13" s="1"/>
  <c r="O31" i="9"/>
  <c r="L29" i="9"/>
  <c r="L11" i="9"/>
  <c r="O57" i="9"/>
  <c r="L55" i="9"/>
  <c r="O310" i="2"/>
  <c r="O312" i="15"/>
  <c r="O222" i="15"/>
  <c r="L66" i="14"/>
  <c r="O66" i="14" s="1"/>
  <c r="L220" i="11"/>
  <c r="O220" i="11" s="1"/>
  <c r="L118" i="10"/>
  <c r="O118" i="10" s="1"/>
  <c r="O222" i="10"/>
  <c r="M140" i="8"/>
  <c r="P140" i="8" s="1"/>
  <c r="O70" i="5"/>
  <c r="L11" i="3"/>
  <c r="O11" i="3" s="1"/>
  <c r="N14" i="3"/>
  <c r="O14" i="3" s="1"/>
  <c r="L290" i="6"/>
  <c r="O290" i="6" s="1"/>
  <c r="O31" i="3"/>
  <c r="O254" i="3"/>
  <c r="N11" i="3"/>
  <c r="N9" i="3" s="1"/>
  <c r="L26" i="1"/>
  <c r="L16" i="1" s="1"/>
  <c r="O16" i="1" s="1"/>
  <c r="M310" i="15"/>
  <c r="P310" i="15" s="1"/>
  <c r="P312" i="15"/>
  <c r="N20" i="15"/>
  <c r="N18" i="15" s="1"/>
  <c r="N12" i="15"/>
  <c r="N10" i="15" s="1"/>
  <c r="O23" i="15"/>
  <c r="L13" i="15"/>
  <c r="O13" i="15" s="1"/>
  <c r="P273" i="9"/>
  <c r="M271" i="9"/>
  <c r="P271" i="9" s="1"/>
  <c r="P55" i="12"/>
  <c r="M53" i="12"/>
  <c r="P53" i="12" s="1"/>
  <c r="N118" i="7"/>
  <c r="N37" i="7" s="1"/>
  <c r="N120" i="1"/>
  <c r="N329" i="6"/>
  <c r="O353" i="1"/>
  <c r="L33" i="1"/>
  <c r="O33" i="1" s="1"/>
  <c r="L118" i="6"/>
  <c r="O118" i="6" s="1"/>
  <c r="O120" i="6"/>
  <c r="O122" i="2"/>
  <c r="L122" i="1"/>
  <c r="O122" i="1" s="1"/>
  <c r="M102" i="1"/>
  <c r="P102" i="1" s="1"/>
  <c r="P120" i="15"/>
  <c r="N118" i="15"/>
  <c r="N37" i="15" s="1"/>
  <c r="L120" i="15"/>
  <c r="L120" i="1" s="1"/>
  <c r="O120" i="1" s="1"/>
  <c r="L94" i="8"/>
  <c r="O94" i="8" s="1"/>
  <c r="N18" i="5"/>
  <c r="N12" i="14"/>
  <c r="N10" i="14" s="1"/>
  <c r="N8" i="14" s="1"/>
  <c r="N20" i="14"/>
  <c r="N18" i="14" s="1"/>
  <c r="O55" i="10"/>
  <c r="P337" i="7"/>
  <c r="M26" i="7"/>
  <c r="O118" i="3"/>
  <c r="L254" i="1"/>
  <c r="O254" i="1" s="1"/>
  <c r="O294" i="14"/>
  <c r="M220" i="12"/>
  <c r="P220" i="12" s="1"/>
  <c r="L252" i="14"/>
  <c r="O252" i="14" s="1"/>
  <c r="M94" i="15"/>
  <c r="P94" i="15" s="1"/>
  <c r="M271" i="15"/>
  <c r="P271" i="15" s="1"/>
  <c r="L220" i="15"/>
  <c r="O220" i="15" s="1"/>
  <c r="M310" i="12"/>
  <c r="P310" i="12" s="1"/>
  <c r="L94" i="10"/>
  <c r="O94" i="10" s="1"/>
  <c r="L14" i="10"/>
  <c r="O14" i="10" s="1"/>
  <c r="M250" i="8"/>
  <c r="P250" i="8" s="1"/>
  <c r="L94" i="7"/>
  <c r="O94" i="7" s="1"/>
  <c r="L14" i="6"/>
  <c r="O14" i="6" s="1"/>
  <c r="L94" i="6"/>
  <c r="O94" i="6" s="1"/>
  <c r="L68" i="5"/>
  <c r="O68" i="5" s="1"/>
  <c r="L29" i="5"/>
  <c r="O29" i="5" s="1"/>
  <c r="N20" i="4"/>
  <c r="N18" i="4" s="1"/>
  <c r="N250" i="14"/>
  <c r="N250" i="1" s="1"/>
  <c r="M310" i="14"/>
  <c r="P310" i="14" s="1"/>
  <c r="P312" i="14"/>
  <c r="P252" i="13"/>
  <c r="M250" i="13"/>
  <c r="P250" i="13" s="1"/>
  <c r="O142" i="12"/>
  <c r="L140" i="12"/>
  <c r="N20" i="12"/>
  <c r="N18" i="12" s="1"/>
  <c r="O638" i="6"/>
  <c r="L636" i="6"/>
  <c r="O636" i="6" s="1"/>
  <c r="M310" i="7"/>
  <c r="P310" i="7" s="1"/>
  <c r="P312" i="7"/>
  <c r="O32" i="9"/>
  <c r="L30" i="9"/>
  <c r="O30" i="9" s="1"/>
  <c r="P96" i="12"/>
  <c r="M94" i="12"/>
  <c r="P94" i="12" s="1"/>
  <c r="L310" i="8"/>
  <c r="O310" i="8" s="1"/>
  <c r="O312" i="8"/>
  <c r="N271" i="6"/>
  <c r="N37" i="6" s="1"/>
  <c r="N273" i="1"/>
  <c r="L273" i="5"/>
  <c r="O275" i="5"/>
  <c r="M271" i="5"/>
  <c r="P271" i="5" s="1"/>
  <c r="P273" i="5"/>
  <c r="M329" i="3"/>
  <c r="P329" i="3" s="1"/>
  <c r="P331" i="3"/>
  <c r="N34" i="1"/>
  <c r="N14" i="1" s="1"/>
  <c r="L144" i="1"/>
  <c r="O144" i="1" s="1"/>
  <c r="O650" i="1"/>
  <c r="L640" i="1"/>
  <c r="N290" i="1"/>
  <c r="P96" i="3"/>
  <c r="M94" i="3"/>
  <c r="P94" i="3" s="1"/>
  <c r="O329" i="3"/>
  <c r="P55" i="1"/>
  <c r="M222" i="1"/>
  <c r="O31" i="15"/>
  <c r="L11" i="15"/>
  <c r="L29" i="15"/>
  <c r="M290" i="12"/>
  <c r="P290" i="12" s="1"/>
  <c r="P292" i="12"/>
  <c r="P252" i="10"/>
  <c r="M250" i="10"/>
  <c r="P250" i="10" s="1"/>
  <c r="P292" i="7"/>
  <c r="M290" i="7"/>
  <c r="P290" i="7" s="1"/>
  <c r="L13" i="3"/>
  <c r="O13" i="3" s="1"/>
  <c r="O23" i="3"/>
  <c r="P273" i="13"/>
  <c r="L22" i="8"/>
  <c r="L12" i="8" s="1"/>
  <c r="M271" i="7"/>
  <c r="P271" i="7" s="1"/>
  <c r="N18" i="7"/>
  <c r="O120" i="14"/>
  <c r="L118" i="14"/>
  <c r="M94" i="13"/>
  <c r="P94" i="13" s="1"/>
  <c r="P96" i="13"/>
  <c r="P142" i="12"/>
  <c r="N140" i="12"/>
  <c r="P140" i="12" s="1"/>
  <c r="M331" i="8"/>
  <c r="M26" i="8"/>
  <c r="M16" i="8" s="1"/>
  <c r="P43" i="8"/>
  <c r="M41" i="8"/>
  <c r="P41" i="8" s="1"/>
  <c r="M290" i="3"/>
  <c r="P290" i="3" s="1"/>
  <c r="P292" i="3"/>
  <c r="O31" i="2"/>
  <c r="L29" i="2"/>
  <c r="L11" i="2"/>
  <c r="O34" i="5"/>
  <c r="O32" i="3"/>
  <c r="M22" i="1"/>
  <c r="M12" i="1" s="1"/>
  <c r="L250" i="2"/>
  <c r="O250" i="2" s="1"/>
  <c r="O252" i="2"/>
  <c r="O11" i="13"/>
  <c r="L9" i="13"/>
  <c r="O9" i="13" s="1"/>
  <c r="L66" i="15"/>
  <c r="O66" i="15" s="1"/>
  <c r="L329" i="15"/>
  <c r="O329" i="15" s="1"/>
  <c r="O314" i="15"/>
  <c r="O273" i="13"/>
  <c r="O16" i="12"/>
  <c r="P140" i="13"/>
  <c r="L118" i="11"/>
  <c r="O118" i="11" s="1"/>
  <c r="M250" i="9"/>
  <c r="P250" i="9" s="1"/>
  <c r="M331" i="7"/>
  <c r="N20" i="9"/>
  <c r="N18" i="9" s="1"/>
  <c r="L250" i="7"/>
  <c r="O250" i="7" s="1"/>
  <c r="L142" i="7"/>
  <c r="P337" i="14"/>
  <c r="M26" i="14"/>
  <c r="M220" i="15"/>
  <c r="P220" i="15" s="1"/>
  <c r="P222" i="15"/>
  <c r="O32" i="14"/>
  <c r="L30" i="14"/>
  <c r="O30" i="14" s="1"/>
  <c r="M66" i="13"/>
  <c r="P66" i="13" s="1"/>
  <c r="P68" i="13"/>
  <c r="O96" i="14"/>
  <c r="L94" i="14"/>
  <c r="O94" i="14" s="1"/>
  <c r="P252" i="14"/>
  <c r="M250" i="14"/>
  <c r="P250" i="14" s="1"/>
  <c r="O120" i="12"/>
  <c r="L118" i="12"/>
  <c r="O118" i="12" s="1"/>
  <c r="P140" i="15"/>
  <c r="O45" i="14"/>
  <c r="L43" i="14"/>
  <c r="M12" i="15"/>
  <c r="P22" i="15"/>
  <c r="O96" i="12"/>
  <c r="O68" i="12"/>
  <c r="L66" i="12"/>
  <c r="O66" i="12" s="1"/>
  <c r="O292" i="11"/>
  <c r="L290" i="11"/>
  <c r="O290" i="11" s="1"/>
  <c r="M94" i="8"/>
  <c r="P94" i="8" s="1"/>
  <c r="P96" i="8"/>
  <c r="O312" i="2"/>
  <c r="L29" i="4"/>
  <c r="O29" i="4" s="1"/>
  <c r="O31" i="4"/>
  <c r="L314" i="1"/>
  <c r="O314" i="1" s="1"/>
  <c r="L31" i="1"/>
  <c r="N222" i="1"/>
  <c r="L20" i="10"/>
  <c r="O22" i="11"/>
  <c r="P53" i="6"/>
  <c r="N37" i="10"/>
  <c r="P337" i="15"/>
  <c r="M26" i="15"/>
  <c r="M337" i="1"/>
  <c r="P337" i="1" s="1"/>
  <c r="O640" i="13"/>
  <c r="L638" i="13"/>
  <c r="N94" i="14"/>
  <c r="P55" i="13"/>
  <c r="M53" i="13"/>
  <c r="P53" i="13" s="1"/>
  <c r="O34" i="12"/>
  <c r="L14" i="12"/>
  <c r="O14" i="12" s="1"/>
  <c r="L250" i="12"/>
  <c r="O250" i="12" s="1"/>
  <c r="O252" i="12"/>
  <c r="L68" i="13"/>
  <c r="O70" i="13"/>
  <c r="L53" i="13"/>
  <c r="O53" i="13" s="1"/>
  <c r="O55" i="13"/>
  <c r="O26" i="11"/>
  <c r="L16" i="11"/>
  <c r="O638" i="11"/>
  <c r="L636" i="11"/>
  <c r="O636" i="11" s="1"/>
  <c r="P30" i="11"/>
  <c r="M28" i="11"/>
  <c r="P28" i="11" s="1"/>
  <c r="P19" i="12"/>
  <c r="M20" i="11"/>
  <c r="P22" i="11"/>
  <c r="M12" i="11"/>
  <c r="P329" i="10"/>
  <c r="P22" i="9"/>
  <c r="M12" i="9"/>
  <c r="P26" i="10"/>
  <c r="M16" i="10"/>
  <c r="P16" i="10" s="1"/>
  <c r="O24" i="8"/>
  <c r="L14" i="8"/>
  <c r="O14" i="8" s="1"/>
  <c r="O640" i="8"/>
  <c r="L638" i="8"/>
  <c r="L220" i="7"/>
  <c r="O220" i="7" s="1"/>
  <c r="O222" i="7"/>
  <c r="O70" i="6"/>
  <c r="L68" i="6"/>
  <c r="L70" i="1"/>
  <c r="O70" i="1" s="1"/>
  <c r="L310" i="7"/>
  <c r="O310" i="7" s="1"/>
  <c r="O312" i="7"/>
  <c r="O55" i="7"/>
  <c r="O26" i="7"/>
  <c r="L16" i="7"/>
  <c r="O16" i="7" s="1"/>
  <c r="O26" i="5"/>
  <c r="L16" i="5"/>
  <c r="O16" i="5" s="1"/>
  <c r="L9" i="4"/>
  <c r="O11" i="4"/>
  <c r="P273" i="3"/>
  <c r="M273" i="1"/>
  <c r="P273" i="1" s="1"/>
  <c r="M20" i="5"/>
  <c r="P22" i="5"/>
  <c r="M12" i="5"/>
  <c r="O24" i="15"/>
  <c r="L14" i="15"/>
  <c r="O14" i="15" s="1"/>
  <c r="O96" i="5"/>
  <c r="L94" i="5"/>
  <c r="O94" i="5" s="1"/>
  <c r="O250" i="3"/>
  <c r="N140" i="5"/>
  <c r="P140" i="5" s="1"/>
  <c r="N142" i="1"/>
  <c r="P118" i="4"/>
  <c r="L16" i="6"/>
  <c r="O16" i="6" s="1"/>
  <c r="O26" i="6"/>
  <c r="O55" i="5"/>
  <c r="L53" i="5"/>
  <c r="O53" i="5" s="1"/>
  <c r="L638" i="3"/>
  <c r="O640" i="3"/>
  <c r="P310" i="2"/>
  <c r="P26" i="5"/>
  <c r="M16" i="5"/>
  <c r="P16" i="5" s="1"/>
  <c r="P142" i="2"/>
  <c r="M140" i="2"/>
  <c r="M142" i="1"/>
  <c r="O271" i="2"/>
  <c r="N12" i="1"/>
  <c r="O43" i="2"/>
  <c r="L41" i="2"/>
  <c r="P41" i="2"/>
  <c r="O26" i="14"/>
  <c r="L16" i="14"/>
  <c r="O16" i="14" s="1"/>
  <c r="M53" i="14"/>
  <c r="O252" i="13"/>
  <c r="L250" i="13"/>
  <c r="O250" i="13" s="1"/>
  <c r="P41" i="13"/>
  <c r="P22" i="12"/>
  <c r="M12" i="12"/>
  <c r="L13" i="12"/>
  <c r="O13" i="12" s="1"/>
  <c r="O23" i="12"/>
  <c r="M9" i="13"/>
  <c r="P11" i="13"/>
  <c r="O98" i="13"/>
  <c r="L96" i="13"/>
  <c r="O640" i="10"/>
  <c r="L638" i="10"/>
  <c r="O142" i="10"/>
  <c r="L140" i="10"/>
  <c r="O140" i="10" s="1"/>
  <c r="L271" i="10"/>
  <c r="O271" i="10" s="1"/>
  <c r="O33" i="9"/>
  <c r="L13" i="9"/>
  <c r="O13" i="9" s="1"/>
  <c r="M28" i="8"/>
  <c r="P28" i="8" s="1"/>
  <c r="P29" i="8"/>
  <c r="O26" i="10"/>
  <c r="L16" i="10"/>
  <c r="O16" i="10" s="1"/>
  <c r="O312" i="10"/>
  <c r="L310" i="10"/>
  <c r="O310" i="10" s="1"/>
  <c r="P331" i="10"/>
  <c r="L53" i="11"/>
  <c r="O53" i="11" s="1"/>
  <c r="O55" i="11"/>
  <c r="O252" i="9"/>
  <c r="L250" i="9"/>
  <c r="O250" i="9" s="1"/>
  <c r="N12" i="8"/>
  <c r="N20" i="8"/>
  <c r="N18" i="8" s="1"/>
  <c r="P11" i="7"/>
  <c r="M9" i="7"/>
  <c r="N28" i="8"/>
  <c r="P252" i="6"/>
  <c r="M250" i="6"/>
  <c r="P250" i="6" s="1"/>
  <c r="L22" i="6"/>
  <c r="P29" i="6"/>
  <c r="M28" i="6"/>
  <c r="P28" i="6" s="1"/>
  <c r="P26" i="3"/>
  <c r="M16" i="3"/>
  <c r="P16" i="3" s="1"/>
  <c r="M271" i="3"/>
  <c r="P271" i="3" s="1"/>
  <c r="L29" i="6"/>
  <c r="O31" i="6"/>
  <c r="P120" i="5"/>
  <c r="M118" i="5"/>
  <c r="P118" i="5" s="1"/>
  <c r="M120" i="1"/>
  <c r="O640" i="4"/>
  <c r="L638" i="4"/>
  <c r="P26" i="4"/>
  <c r="M16" i="4"/>
  <c r="M20" i="4"/>
  <c r="O11" i="7"/>
  <c r="M26" i="6"/>
  <c r="P49" i="6"/>
  <c r="M49" i="1"/>
  <c r="M20" i="3"/>
  <c r="O96" i="2"/>
  <c r="L94" i="2"/>
  <c r="L53" i="3"/>
  <c r="O55" i="3"/>
  <c r="O638" i="2"/>
  <c r="L636" i="2"/>
  <c r="O636" i="2" s="1"/>
  <c r="O120" i="2"/>
  <c r="L118" i="2"/>
  <c r="L57" i="1"/>
  <c r="M9" i="1"/>
  <c r="P11" i="1"/>
  <c r="L329" i="14"/>
  <c r="O329" i="14" s="1"/>
  <c r="L271" i="13"/>
  <c r="O271" i="13" s="1"/>
  <c r="O640" i="12"/>
  <c r="L638" i="12"/>
  <c r="L55" i="12"/>
  <c r="O57" i="12"/>
  <c r="L22" i="12"/>
  <c r="N41" i="11"/>
  <c r="N37" i="11" s="1"/>
  <c r="O331" i="12"/>
  <c r="L329" i="12"/>
  <c r="O329" i="12" s="1"/>
  <c r="O312" i="11"/>
  <c r="L310" i="11"/>
  <c r="O310" i="11" s="1"/>
  <c r="P11" i="10"/>
  <c r="M9" i="10"/>
  <c r="O24" i="13"/>
  <c r="L14" i="13"/>
  <c r="O14" i="13" s="1"/>
  <c r="P43" i="11"/>
  <c r="M41" i="11"/>
  <c r="P55" i="11"/>
  <c r="M53" i="11"/>
  <c r="P53" i="11" s="1"/>
  <c r="O9" i="11"/>
  <c r="N12" i="10"/>
  <c r="N10" i="10" s="1"/>
  <c r="N20" i="10"/>
  <c r="N18" i="10" s="1"/>
  <c r="M20" i="10"/>
  <c r="M18" i="10" s="1"/>
  <c r="M12" i="10"/>
  <c r="P22" i="10"/>
  <c r="P9" i="8"/>
  <c r="L14" i="9"/>
  <c r="O14" i="9" s="1"/>
  <c r="M94" i="9"/>
  <c r="P94" i="9" s="1"/>
  <c r="O26" i="8"/>
  <c r="L16" i="8"/>
  <c r="O292" i="7"/>
  <c r="L290" i="7"/>
  <c r="O290" i="7" s="1"/>
  <c r="P19" i="10"/>
  <c r="O53" i="7"/>
  <c r="O23" i="7"/>
  <c r="L13" i="7"/>
  <c r="O13" i="7" s="1"/>
  <c r="P55" i="7"/>
  <c r="N20" i="6"/>
  <c r="N18" i="6" s="1"/>
  <c r="N12" i="6"/>
  <c r="N10" i="6" s="1"/>
  <c r="N8" i="6" s="1"/>
  <c r="O312" i="4"/>
  <c r="L310" i="4"/>
  <c r="O310" i="4" s="1"/>
  <c r="O19" i="6"/>
  <c r="O34" i="6"/>
  <c r="P252" i="3"/>
  <c r="M252" i="1"/>
  <c r="O55" i="6"/>
  <c r="N41" i="4"/>
  <c r="O41" i="4" s="1"/>
  <c r="N41" i="5"/>
  <c r="O41" i="5" s="1"/>
  <c r="P331" i="4"/>
  <c r="P96" i="4"/>
  <c r="M96" i="1"/>
  <c r="O32" i="4"/>
  <c r="L30" i="4"/>
  <c r="O32" i="6"/>
  <c r="L30" i="6"/>
  <c r="O30" i="6" s="1"/>
  <c r="O29" i="3"/>
  <c r="L28" i="3"/>
  <c r="L14" i="4"/>
  <c r="O14" i="4" s="1"/>
  <c r="N329" i="2"/>
  <c r="P329" i="2" s="1"/>
  <c r="N331" i="1"/>
  <c r="O252" i="3"/>
  <c r="O142" i="2"/>
  <c r="P22" i="1"/>
  <c r="M9" i="2"/>
  <c r="M9" i="15"/>
  <c r="P30" i="12"/>
  <c r="M28" i="12"/>
  <c r="P28" i="12" s="1"/>
  <c r="P19" i="13"/>
  <c r="M9" i="11"/>
  <c r="P15" i="11"/>
  <c r="O32" i="11"/>
  <c r="L30" i="11"/>
  <c r="O30" i="11" s="1"/>
  <c r="M271" i="12"/>
  <c r="P271" i="12" s="1"/>
  <c r="P26" i="11"/>
  <c r="M16" i="11"/>
  <c r="O23" i="10"/>
  <c r="L13" i="10"/>
  <c r="O13" i="10" s="1"/>
  <c r="O273" i="9"/>
  <c r="L271" i="9"/>
  <c r="O271" i="9" s="1"/>
  <c r="L29" i="10"/>
  <c r="O31" i="10"/>
  <c r="L11" i="10"/>
  <c r="O252" i="10"/>
  <c r="L250" i="10"/>
  <c r="O250" i="10" s="1"/>
  <c r="P22" i="8"/>
  <c r="M12" i="8"/>
  <c r="P29" i="9"/>
  <c r="M28" i="9"/>
  <c r="P28" i="9" s="1"/>
  <c r="O31" i="8"/>
  <c r="L11" i="8"/>
  <c r="L29" i="8"/>
  <c r="N16" i="8"/>
  <c r="O640" i="7"/>
  <c r="L638" i="7"/>
  <c r="P41" i="7"/>
  <c r="L14" i="7"/>
  <c r="O14" i="7" s="1"/>
  <c r="O24" i="7"/>
  <c r="M41" i="6"/>
  <c r="P43" i="6"/>
  <c r="M9" i="9"/>
  <c r="P11" i="9"/>
  <c r="O32" i="5"/>
  <c r="L30" i="5"/>
  <c r="O30" i="5" s="1"/>
  <c r="P11" i="6"/>
  <c r="M9" i="6"/>
  <c r="O252" i="4"/>
  <c r="L250" i="4"/>
  <c r="O250" i="4" s="1"/>
  <c r="L9" i="6"/>
  <c r="O11" i="6"/>
  <c r="P30" i="5"/>
  <c r="M28" i="5"/>
  <c r="P28" i="5" s="1"/>
  <c r="P220" i="4"/>
  <c r="L118" i="7"/>
  <c r="O118" i="7" s="1"/>
  <c r="O120" i="7"/>
  <c r="O331" i="5"/>
  <c r="L329" i="5"/>
  <c r="O329" i="5" s="1"/>
  <c r="O98" i="4"/>
  <c r="L96" i="4"/>
  <c r="L98" i="1"/>
  <c r="O98" i="1" s="1"/>
  <c r="O19" i="7"/>
  <c r="P292" i="5"/>
  <c r="M290" i="5"/>
  <c r="P290" i="5" s="1"/>
  <c r="M292" i="1"/>
  <c r="P142" i="5"/>
  <c r="M9" i="5"/>
  <c r="P11" i="5"/>
  <c r="M250" i="3"/>
  <c r="N12" i="3"/>
  <c r="N10" i="3" s="1"/>
  <c r="N20" i="3"/>
  <c r="N18" i="3" s="1"/>
  <c r="P22" i="2"/>
  <c r="M12" i="2"/>
  <c r="P43" i="4"/>
  <c r="O331" i="2"/>
  <c r="P19" i="1"/>
  <c r="O19" i="1"/>
  <c r="M28" i="14"/>
  <c r="P28" i="14" s="1"/>
  <c r="P29" i="14"/>
  <c r="O23" i="14"/>
  <c r="L13" i="14"/>
  <c r="O13" i="14" s="1"/>
  <c r="P312" i="13"/>
  <c r="M310" i="13"/>
  <c r="P310" i="13" s="1"/>
  <c r="O640" i="14"/>
  <c r="L638" i="14"/>
  <c r="M12" i="14"/>
  <c r="P22" i="14"/>
  <c r="O32" i="12"/>
  <c r="L30" i="12"/>
  <c r="O30" i="12" s="1"/>
  <c r="L41" i="13"/>
  <c r="O31" i="12"/>
  <c r="L29" i="12"/>
  <c r="L11" i="12"/>
  <c r="P19" i="14"/>
  <c r="N11" i="12"/>
  <c r="N9" i="12" s="1"/>
  <c r="N29" i="12"/>
  <c r="N28" i="12" s="1"/>
  <c r="P41" i="12"/>
  <c r="O273" i="11"/>
  <c r="L271" i="11"/>
  <c r="O271" i="11" s="1"/>
  <c r="O23" i="11"/>
  <c r="L13" i="11"/>
  <c r="O13" i="11" s="1"/>
  <c r="L68" i="10"/>
  <c r="O70" i="10"/>
  <c r="P55" i="10"/>
  <c r="M53" i="10"/>
  <c r="P140" i="11"/>
  <c r="O640" i="9"/>
  <c r="L638" i="9"/>
  <c r="N16" i="11"/>
  <c r="N10" i="11" s="1"/>
  <c r="N8" i="11" s="1"/>
  <c r="N20" i="11"/>
  <c r="N18" i="11" s="1"/>
  <c r="P140" i="9"/>
  <c r="M53" i="8"/>
  <c r="P55" i="8"/>
  <c r="M28" i="10"/>
  <c r="P28" i="10" s="1"/>
  <c r="L30" i="8"/>
  <c r="O30" i="8" s="1"/>
  <c r="O32" i="8"/>
  <c r="O23" i="8"/>
  <c r="L13" i="8"/>
  <c r="O13" i="8" s="1"/>
  <c r="P53" i="7"/>
  <c r="O34" i="8"/>
  <c r="P19" i="7"/>
  <c r="L140" i="8"/>
  <c r="O140" i="8" s="1"/>
  <c r="O142" i="8"/>
  <c r="O41" i="6"/>
  <c r="L310" i="6"/>
  <c r="O310" i="6" s="1"/>
  <c r="P11" i="4"/>
  <c r="M9" i="4"/>
  <c r="L13" i="4"/>
  <c r="O13" i="4" s="1"/>
  <c r="O23" i="4"/>
  <c r="M94" i="4"/>
  <c r="O142" i="5"/>
  <c r="O271" i="3"/>
  <c r="O273" i="2"/>
  <c r="L140" i="2"/>
  <c r="N28" i="3"/>
  <c r="P312" i="2"/>
  <c r="M312" i="1"/>
  <c r="O26" i="2"/>
  <c r="L16" i="2"/>
  <c r="O16" i="2" s="1"/>
  <c r="O638" i="15"/>
  <c r="L636" i="15"/>
  <c r="O636" i="15" s="1"/>
  <c r="M331" i="15"/>
  <c r="P9" i="14"/>
  <c r="L22" i="14"/>
  <c r="L222" i="14"/>
  <c r="O224" i="14"/>
  <c r="L224" i="1"/>
  <c r="O224" i="1" s="1"/>
  <c r="O29" i="14"/>
  <c r="O292" i="14"/>
  <c r="L290" i="14"/>
  <c r="O290" i="14" s="1"/>
  <c r="O9" i="14"/>
  <c r="P22" i="13"/>
  <c r="M12" i="13"/>
  <c r="M20" i="13"/>
  <c r="O41" i="12"/>
  <c r="O292" i="13"/>
  <c r="L290" i="13"/>
  <c r="O290" i="13" s="1"/>
  <c r="M329" i="13"/>
  <c r="P329" i="13" s="1"/>
  <c r="M118" i="13"/>
  <c r="P118" i="13" s="1"/>
  <c r="L118" i="13"/>
  <c r="O118" i="13" s="1"/>
  <c r="O23" i="13"/>
  <c r="L13" i="13"/>
  <c r="O13" i="13" s="1"/>
  <c r="L310" i="12"/>
  <c r="O310" i="12" s="1"/>
  <c r="O26" i="13"/>
  <c r="L16" i="13"/>
  <c r="O16" i="13" s="1"/>
  <c r="P11" i="12"/>
  <c r="M9" i="12"/>
  <c r="L68" i="11"/>
  <c r="O70" i="11"/>
  <c r="O292" i="12"/>
  <c r="L290" i="12"/>
  <c r="O290" i="12" s="1"/>
  <c r="P329" i="9"/>
  <c r="P68" i="9"/>
  <c r="M68" i="1"/>
  <c r="O252" i="11"/>
  <c r="L250" i="11"/>
  <c r="O250" i="11" s="1"/>
  <c r="L220" i="8"/>
  <c r="O220" i="8" s="1"/>
  <c r="L55" i="8"/>
  <c r="O57" i="8"/>
  <c r="O273" i="7"/>
  <c r="L271" i="7"/>
  <c r="O271" i="7" s="1"/>
  <c r="O30" i="7"/>
  <c r="P19" i="9"/>
  <c r="O41" i="7"/>
  <c r="O22" i="7"/>
  <c r="P312" i="6"/>
  <c r="M310" i="6"/>
  <c r="P310" i="6" s="1"/>
  <c r="O53" i="6"/>
  <c r="O312" i="5"/>
  <c r="L310" i="5"/>
  <c r="O310" i="5" s="1"/>
  <c r="P96" i="6"/>
  <c r="M94" i="6"/>
  <c r="P94" i="6" s="1"/>
  <c r="P12" i="7"/>
  <c r="O26" i="3"/>
  <c r="L16" i="3"/>
  <c r="O16" i="3" s="1"/>
  <c r="O55" i="4"/>
  <c r="L53" i="4"/>
  <c r="O53" i="4" s="1"/>
  <c r="L43" i="15"/>
  <c r="O45" i="15"/>
  <c r="L22" i="15"/>
  <c r="L290" i="2"/>
  <c r="O292" i="2"/>
  <c r="L292" i="1"/>
  <c r="L9" i="5"/>
  <c r="O142" i="4"/>
  <c r="L13" i="5"/>
  <c r="O13" i="5" s="1"/>
  <c r="O23" i="5"/>
  <c r="N310" i="4"/>
  <c r="N310" i="1" s="1"/>
  <c r="N312" i="1"/>
  <c r="L22" i="4"/>
  <c r="O222" i="2"/>
  <c r="L220" i="2"/>
  <c r="P331" i="2"/>
  <c r="O331" i="4"/>
  <c r="L329" i="4"/>
  <c r="N12" i="2"/>
  <c r="N10" i="2" s="1"/>
  <c r="N20" i="2"/>
  <c r="N18" i="2" s="1"/>
  <c r="O66" i="2"/>
  <c r="L20" i="2"/>
  <c r="L12" i="2" l="1"/>
  <c r="O12" i="2" s="1"/>
  <c r="N10" i="4"/>
  <c r="M20" i="12"/>
  <c r="L271" i="15"/>
  <c r="O271" i="15" s="1"/>
  <c r="L271" i="6"/>
  <c r="O271" i="6" s="1"/>
  <c r="P26" i="12"/>
  <c r="O55" i="15"/>
  <c r="L41" i="10"/>
  <c r="O41" i="10" s="1"/>
  <c r="O222" i="6"/>
  <c r="L220" i="6"/>
  <c r="O220" i="6" s="1"/>
  <c r="L273" i="1"/>
  <c r="O273" i="1" s="1"/>
  <c r="L20" i="5"/>
  <c r="L18" i="5" s="1"/>
  <c r="O18" i="5" s="1"/>
  <c r="L250" i="5"/>
  <c r="O250" i="5" s="1"/>
  <c r="O331" i="11"/>
  <c r="N8" i="3"/>
  <c r="O140" i="4"/>
  <c r="O26" i="1"/>
  <c r="P20" i="13"/>
  <c r="N8" i="4"/>
  <c r="L14" i="1"/>
  <c r="P20" i="12"/>
  <c r="N10" i="1"/>
  <c r="N8" i="1" s="1"/>
  <c r="L20" i="11"/>
  <c r="L18" i="11" s="1"/>
  <c r="O18" i="11" s="1"/>
  <c r="L250" i="14"/>
  <c r="O250" i="14" s="1"/>
  <c r="N20" i="1"/>
  <c r="N18" i="1" s="1"/>
  <c r="P41" i="5"/>
  <c r="L12" i="3"/>
  <c r="L10" i="3" s="1"/>
  <c r="O10" i="3" s="1"/>
  <c r="L271" i="14"/>
  <c r="O271" i="14" s="1"/>
  <c r="L220" i="4"/>
  <c r="O220" i="4" s="1"/>
  <c r="O32" i="1"/>
  <c r="N37" i="9"/>
  <c r="L20" i="8"/>
  <c r="L12" i="10"/>
  <c r="O12" i="10" s="1"/>
  <c r="L312" i="1"/>
  <c r="M37" i="12"/>
  <c r="O55" i="2"/>
  <c r="M16" i="9"/>
  <c r="P16" i="9" s="1"/>
  <c r="M20" i="9"/>
  <c r="M18" i="9" s="1"/>
  <c r="P18" i="9" s="1"/>
  <c r="N271" i="1"/>
  <c r="N8" i="2"/>
  <c r="L28" i="14"/>
  <c r="O28" i="14" s="1"/>
  <c r="M220" i="1"/>
  <c r="P220" i="1" s="1"/>
  <c r="L30" i="1"/>
  <c r="N37" i="14"/>
  <c r="L310" i="14"/>
  <c r="O310" i="14" s="1"/>
  <c r="N8" i="15"/>
  <c r="P41" i="9"/>
  <c r="L66" i="5"/>
  <c r="O66" i="5" s="1"/>
  <c r="O120" i="15"/>
  <c r="O22" i="5"/>
  <c r="L20" i="13"/>
  <c r="O20" i="13" s="1"/>
  <c r="O22" i="8"/>
  <c r="L220" i="13"/>
  <c r="O220" i="13" s="1"/>
  <c r="N28" i="1"/>
  <c r="L290" i="15"/>
  <c r="O290" i="15" s="1"/>
  <c r="P96" i="1"/>
  <c r="P252" i="1"/>
  <c r="L12" i="13"/>
  <c r="O12" i="13" s="1"/>
  <c r="N37" i="3"/>
  <c r="L20" i="7"/>
  <c r="O20" i="7" s="1"/>
  <c r="L9" i="3"/>
  <c r="O9" i="3" s="1"/>
  <c r="P41" i="4"/>
  <c r="O53" i="3"/>
  <c r="L310" i="9"/>
  <c r="O310" i="9" s="1"/>
  <c r="L636" i="5"/>
  <c r="O636" i="5" s="1"/>
  <c r="O638" i="5"/>
  <c r="L252" i="1"/>
  <c r="O252" i="1" s="1"/>
  <c r="P120" i="1"/>
  <c r="L20" i="9"/>
  <c r="L18" i="9" s="1"/>
  <c r="O18" i="9" s="1"/>
  <c r="N8" i="12"/>
  <c r="L329" i="10"/>
  <c r="O329" i="10" s="1"/>
  <c r="O45" i="1"/>
  <c r="O292" i="1"/>
  <c r="P26" i="8"/>
  <c r="L331" i="1"/>
  <c r="O331" i="1" s="1"/>
  <c r="L12" i="9"/>
  <c r="O12" i="9" s="1"/>
  <c r="L118" i="15"/>
  <c r="O118" i="15" s="1"/>
  <c r="L142" i="1"/>
  <c r="O142" i="1" s="1"/>
  <c r="O43" i="3"/>
  <c r="L41" i="3"/>
  <c r="O41" i="3" s="1"/>
  <c r="L28" i="7"/>
  <c r="O28" i="7" s="1"/>
  <c r="L222" i="1"/>
  <c r="O222" i="1" s="1"/>
  <c r="P292" i="1"/>
  <c r="M329" i="11"/>
  <c r="P329" i="11" s="1"/>
  <c r="O140" i="12"/>
  <c r="O142" i="3"/>
  <c r="N8" i="10"/>
  <c r="O312" i="9"/>
  <c r="L250" i="8"/>
  <c r="O250" i="8" s="1"/>
  <c r="O252" i="8"/>
  <c r="N94" i="1"/>
  <c r="M10" i="3"/>
  <c r="P10" i="3" s="1"/>
  <c r="P142" i="1"/>
  <c r="M37" i="2"/>
  <c r="M290" i="15"/>
  <c r="P290" i="15" s="1"/>
  <c r="P292" i="15"/>
  <c r="P68" i="1"/>
  <c r="L20" i="3"/>
  <c r="O20" i="3" s="1"/>
  <c r="P312" i="1"/>
  <c r="N118" i="1"/>
  <c r="L310" i="3"/>
  <c r="O310" i="3" s="1"/>
  <c r="O312" i="3"/>
  <c r="N66" i="1"/>
  <c r="P220" i="10"/>
  <c r="O220" i="10"/>
  <c r="O292" i="5"/>
  <c r="L290" i="5"/>
  <c r="O290" i="5" s="1"/>
  <c r="L22" i="1"/>
  <c r="O22" i="1" s="1"/>
  <c r="M66" i="1"/>
  <c r="P66" i="1" s="1"/>
  <c r="L96" i="1"/>
  <c r="O96" i="1" s="1"/>
  <c r="P16" i="8"/>
  <c r="M20" i="8"/>
  <c r="M18" i="8" s="1"/>
  <c r="P18" i="8" s="1"/>
  <c r="P12" i="15"/>
  <c r="O118" i="14"/>
  <c r="P222" i="1"/>
  <c r="O29" i="13"/>
  <c r="L28" i="13"/>
  <c r="O28" i="13" s="1"/>
  <c r="M16" i="2"/>
  <c r="P16" i="2" s="1"/>
  <c r="P26" i="2"/>
  <c r="O222" i="3"/>
  <c r="L220" i="3"/>
  <c r="O220" i="3" s="1"/>
  <c r="O31" i="1"/>
  <c r="L29" i="1"/>
  <c r="O29" i="1" s="1"/>
  <c r="L11" i="1"/>
  <c r="M16" i="14"/>
  <c r="P16" i="14" s="1"/>
  <c r="P26" i="14"/>
  <c r="M271" i="1"/>
  <c r="O43" i="14"/>
  <c r="L41" i="14"/>
  <c r="O41" i="14" s="1"/>
  <c r="P331" i="8"/>
  <c r="M329" i="8"/>
  <c r="P329" i="8" s="1"/>
  <c r="O640" i="1"/>
  <c r="L638" i="1"/>
  <c r="L28" i="2"/>
  <c r="O28" i="2" s="1"/>
  <c r="O29" i="2"/>
  <c r="L28" i="15"/>
  <c r="O28" i="15" s="1"/>
  <c r="O29" i="15"/>
  <c r="L271" i="5"/>
  <c r="O271" i="5" s="1"/>
  <c r="O273" i="5"/>
  <c r="O140" i="5"/>
  <c r="M37" i="5"/>
  <c r="O14" i="1"/>
  <c r="N140" i="1"/>
  <c r="P12" i="3"/>
  <c r="N37" i="5"/>
  <c r="O142" i="7"/>
  <c r="L140" i="7"/>
  <c r="L140" i="1" s="1"/>
  <c r="N37" i="12"/>
  <c r="O11" i="2"/>
  <c r="L9" i="2"/>
  <c r="O9" i="2" s="1"/>
  <c r="P118" i="15"/>
  <c r="L53" i="9"/>
  <c r="O53" i="9" s="1"/>
  <c r="O55" i="9"/>
  <c r="L68" i="1"/>
  <c r="O68" i="1" s="1"/>
  <c r="P16" i="11"/>
  <c r="P331" i="7"/>
  <c r="M329" i="7"/>
  <c r="P329" i="7" s="1"/>
  <c r="O11" i="15"/>
  <c r="L9" i="15"/>
  <c r="O9" i="15" s="1"/>
  <c r="M16" i="7"/>
  <c r="M20" i="7"/>
  <c r="P26" i="7"/>
  <c r="O11" i="9"/>
  <c r="L9" i="9"/>
  <c r="O9" i="9" s="1"/>
  <c r="L13" i="1"/>
  <c r="O13" i="1" s="1"/>
  <c r="M20" i="14"/>
  <c r="O16" i="8"/>
  <c r="O34" i="1"/>
  <c r="O329" i="6"/>
  <c r="P329" i="6"/>
  <c r="L28" i="9"/>
  <c r="O28" i="9" s="1"/>
  <c r="O29" i="9"/>
  <c r="O43" i="15"/>
  <c r="L41" i="15"/>
  <c r="O12" i="7"/>
  <c r="L10" i="7"/>
  <c r="O10" i="7" s="1"/>
  <c r="O222" i="14"/>
  <c r="L220" i="14"/>
  <c r="O68" i="11"/>
  <c r="L66" i="11"/>
  <c r="O66" i="11" s="1"/>
  <c r="O140" i="2"/>
  <c r="P9" i="4"/>
  <c r="O96" i="4"/>
  <c r="L94" i="4"/>
  <c r="O94" i="4" s="1"/>
  <c r="L9" i="10"/>
  <c r="O11" i="10"/>
  <c r="O312" i="1"/>
  <c r="P18" i="10"/>
  <c r="P41" i="11"/>
  <c r="O22" i="12"/>
  <c r="L20" i="12"/>
  <c r="L12" i="12"/>
  <c r="P20" i="3"/>
  <c r="M18" i="3"/>
  <c r="P18" i="3" s="1"/>
  <c r="O20" i="5"/>
  <c r="L636" i="3"/>
  <c r="O636" i="3" s="1"/>
  <c r="O638" i="3"/>
  <c r="O68" i="6"/>
  <c r="L66" i="6"/>
  <c r="M10" i="11"/>
  <c r="P10" i="11" s="1"/>
  <c r="P12" i="11"/>
  <c r="O20" i="11"/>
  <c r="O22" i="15"/>
  <c r="L12" i="15"/>
  <c r="L20" i="15"/>
  <c r="P53" i="8"/>
  <c r="O41" i="13"/>
  <c r="O638" i="14"/>
  <c r="L636" i="14"/>
  <c r="O636" i="14" s="1"/>
  <c r="O9" i="6"/>
  <c r="P9" i="2"/>
  <c r="O638" i="12"/>
  <c r="L636" i="12"/>
  <c r="O636" i="12" s="1"/>
  <c r="L28" i="5"/>
  <c r="O28" i="5" s="1"/>
  <c r="O9" i="7"/>
  <c r="O12" i="5"/>
  <c r="L10" i="5"/>
  <c r="O10" i="5" s="1"/>
  <c r="O41" i="11"/>
  <c r="P12" i="6"/>
  <c r="P12" i="5"/>
  <c r="M10" i="5"/>
  <c r="P10" i="5" s="1"/>
  <c r="O9" i="4"/>
  <c r="M37" i="9"/>
  <c r="O638" i="13"/>
  <c r="L636" i="13"/>
  <c r="O636" i="13" s="1"/>
  <c r="O12" i="11"/>
  <c r="L10" i="11"/>
  <c r="O329" i="4"/>
  <c r="L10" i="2"/>
  <c r="P9" i="12"/>
  <c r="P331" i="15"/>
  <c r="M329" i="15"/>
  <c r="O220" i="2"/>
  <c r="O9" i="5"/>
  <c r="O55" i="8"/>
  <c r="L53" i="8"/>
  <c r="P53" i="10"/>
  <c r="M37" i="10"/>
  <c r="P37" i="10" s="1"/>
  <c r="P250" i="3"/>
  <c r="M250" i="1"/>
  <c r="P250" i="1" s="1"/>
  <c r="M37" i="3"/>
  <c r="L28" i="8"/>
  <c r="O28" i="8" s="1"/>
  <c r="O29" i="8"/>
  <c r="P12" i="8"/>
  <c r="M10" i="8"/>
  <c r="O29" i="10"/>
  <c r="L28" i="10"/>
  <c r="O28" i="10" s="1"/>
  <c r="N329" i="1"/>
  <c r="N37" i="2"/>
  <c r="O329" i="2"/>
  <c r="M331" i="1"/>
  <c r="P331" i="1" s="1"/>
  <c r="O55" i="12"/>
  <c r="L53" i="12"/>
  <c r="P12" i="1"/>
  <c r="P20" i="4"/>
  <c r="M18" i="4"/>
  <c r="P18" i="4" s="1"/>
  <c r="P9" i="7"/>
  <c r="M10" i="12"/>
  <c r="P10" i="12" s="1"/>
  <c r="P12" i="12"/>
  <c r="L28" i="11"/>
  <c r="O28" i="11" s="1"/>
  <c r="P20" i="11"/>
  <c r="M18" i="11"/>
  <c r="P18" i="11" s="1"/>
  <c r="O68" i="13"/>
  <c r="L66" i="13"/>
  <c r="O66" i="13" s="1"/>
  <c r="O43" i="1"/>
  <c r="L41" i="1"/>
  <c r="P20" i="2"/>
  <c r="M18" i="2"/>
  <c r="P18" i="2" s="1"/>
  <c r="P9" i="9"/>
  <c r="O11" i="8"/>
  <c r="L9" i="8"/>
  <c r="P9" i="11"/>
  <c r="P9" i="15"/>
  <c r="P9" i="1"/>
  <c r="M43" i="1"/>
  <c r="P49" i="1"/>
  <c r="M26" i="1"/>
  <c r="P16" i="4"/>
  <c r="M10" i="4"/>
  <c r="P10" i="4" s="1"/>
  <c r="O638" i="10"/>
  <c r="L636" i="10"/>
  <c r="O636" i="10" s="1"/>
  <c r="P9" i="13"/>
  <c r="P53" i="14"/>
  <c r="M37" i="14"/>
  <c r="P37" i="14" s="1"/>
  <c r="M310" i="1"/>
  <c r="P310" i="1" s="1"/>
  <c r="P20" i="5"/>
  <c r="M18" i="5"/>
  <c r="P18" i="5" s="1"/>
  <c r="M18" i="12"/>
  <c r="P18" i="12" s="1"/>
  <c r="O16" i="11"/>
  <c r="L10" i="8"/>
  <c r="O12" i="8"/>
  <c r="O20" i="10"/>
  <c r="L18" i="10"/>
  <c r="O18" i="10" s="1"/>
  <c r="O22" i="14"/>
  <c r="L12" i="14"/>
  <c r="L20" i="14"/>
  <c r="P94" i="4"/>
  <c r="M94" i="1"/>
  <c r="L9" i="12"/>
  <c r="O11" i="12"/>
  <c r="P12" i="2"/>
  <c r="P9" i="5"/>
  <c r="P9" i="6"/>
  <c r="O638" i="7"/>
  <c r="L636" i="7"/>
  <c r="O636" i="7" s="1"/>
  <c r="M18" i="13"/>
  <c r="P18" i="13" s="1"/>
  <c r="M37" i="4"/>
  <c r="O28" i="3"/>
  <c r="O30" i="4"/>
  <c r="L28" i="4"/>
  <c r="O28" i="4" s="1"/>
  <c r="M10" i="10"/>
  <c r="P10" i="10" s="1"/>
  <c r="P12" i="10"/>
  <c r="P9" i="10"/>
  <c r="O57" i="1"/>
  <c r="L55" i="1"/>
  <c r="O118" i="2"/>
  <c r="O94" i="2"/>
  <c r="O22" i="6"/>
  <c r="L12" i="6"/>
  <c r="L20" i="6"/>
  <c r="O638" i="8"/>
  <c r="L636" i="8"/>
  <c r="O636" i="8" s="1"/>
  <c r="L10" i="13"/>
  <c r="M20" i="15"/>
  <c r="M16" i="15"/>
  <c r="P26" i="15"/>
  <c r="O20" i="2"/>
  <c r="L18" i="2"/>
  <c r="O18" i="2" s="1"/>
  <c r="O22" i="4"/>
  <c r="L12" i="4"/>
  <c r="L20" i="4"/>
  <c r="O290" i="2"/>
  <c r="P12" i="13"/>
  <c r="M10" i="13"/>
  <c r="P10" i="13" s="1"/>
  <c r="O638" i="9"/>
  <c r="L636" i="9"/>
  <c r="O636" i="9" s="1"/>
  <c r="O68" i="10"/>
  <c r="L66" i="10"/>
  <c r="O29" i="12"/>
  <c r="L28" i="12"/>
  <c r="O28" i="12" s="1"/>
  <c r="P12" i="14"/>
  <c r="M37" i="6"/>
  <c r="P37" i="6" s="1"/>
  <c r="P41" i="6"/>
  <c r="O30" i="1"/>
  <c r="N37" i="4"/>
  <c r="P20" i="10"/>
  <c r="P26" i="6"/>
  <c r="M16" i="6"/>
  <c r="M20" i="6"/>
  <c r="O638" i="4"/>
  <c r="L636" i="4"/>
  <c r="O636" i="4" s="1"/>
  <c r="O29" i="6"/>
  <c r="L28" i="6"/>
  <c r="O28" i="6" s="1"/>
  <c r="N10" i="8"/>
  <c r="N8" i="8" s="1"/>
  <c r="O96" i="13"/>
  <c r="L94" i="13"/>
  <c r="O94" i="13" s="1"/>
  <c r="M37" i="13"/>
  <c r="P37" i="13" s="1"/>
  <c r="O41" i="2"/>
  <c r="L37" i="2"/>
  <c r="P140" i="2"/>
  <c r="M140" i="1"/>
  <c r="M118" i="1"/>
  <c r="P12" i="9"/>
  <c r="M10" i="9"/>
  <c r="P10" i="9" s="1"/>
  <c r="O20" i="8"/>
  <c r="L18" i="8"/>
  <c r="O18" i="8" s="1"/>
  <c r="O20" i="9" l="1"/>
  <c r="O12" i="3"/>
  <c r="L250" i="1"/>
  <c r="O250" i="1" s="1"/>
  <c r="L329" i="1"/>
  <c r="P37" i="12"/>
  <c r="L10" i="9"/>
  <c r="L8" i="9" s="1"/>
  <c r="O8" i="9" s="1"/>
  <c r="P37" i="3"/>
  <c r="P20" i="8"/>
  <c r="P20" i="9"/>
  <c r="P118" i="1"/>
  <c r="L10" i="10"/>
  <c r="O10" i="10" s="1"/>
  <c r="L271" i="1"/>
  <c r="O271" i="1" s="1"/>
  <c r="L18" i="13"/>
  <c r="O18" i="13" s="1"/>
  <c r="P37" i="9"/>
  <c r="P94" i="1"/>
  <c r="P271" i="1"/>
  <c r="L310" i="1"/>
  <c r="O310" i="1" s="1"/>
  <c r="M290" i="1"/>
  <c r="P290" i="1" s="1"/>
  <c r="L37" i="4"/>
  <c r="O37" i="4" s="1"/>
  <c r="M37" i="11"/>
  <c r="P37" i="11" s="1"/>
  <c r="M10" i="14"/>
  <c r="L18" i="7"/>
  <c r="O18" i="7" s="1"/>
  <c r="L12" i="1"/>
  <c r="O12" i="1" s="1"/>
  <c r="L118" i="1"/>
  <c r="O118" i="1" s="1"/>
  <c r="L290" i="1"/>
  <c r="O290" i="1" s="1"/>
  <c r="P37" i="2"/>
  <c r="L18" i="3"/>
  <c r="O18" i="3" s="1"/>
  <c r="M8" i="3"/>
  <c r="P8" i="3" s="1"/>
  <c r="P140" i="1"/>
  <c r="O140" i="1"/>
  <c r="L220" i="1"/>
  <c r="O220" i="1" s="1"/>
  <c r="L20" i="1"/>
  <c r="O20" i="1" s="1"/>
  <c r="M8" i="10"/>
  <c r="P8" i="10" s="1"/>
  <c r="N37" i="1"/>
  <c r="M37" i="8"/>
  <c r="P37" i="8" s="1"/>
  <c r="M8" i="5"/>
  <c r="P8" i="5" s="1"/>
  <c r="M10" i="2"/>
  <c r="P10" i="2" s="1"/>
  <c r="M8" i="11"/>
  <c r="P8" i="11" s="1"/>
  <c r="L37" i="3"/>
  <c r="O37" i="3" s="1"/>
  <c r="O10" i="8"/>
  <c r="M8" i="13"/>
  <c r="P8" i="13" s="1"/>
  <c r="L8" i="5"/>
  <c r="O8" i="5" s="1"/>
  <c r="P20" i="14"/>
  <c r="M18" i="14"/>
  <c r="P18" i="14" s="1"/>
  <c r="P16" i="7"/>
  <c r="M10" i="7"/>
  <c r="M18" i="7"/>
  <c r="P18" i="7" s="1"/>
  <c r="P20" i="7"/>
  <c r="M329" i="1"/>
  <c r="P329" i="1" s="1"/>
  <c r="L37" i="5"/>
  <c r="O37" i="5" s="1"/>
  <c r="L8" i="7"/>
  <c r="O8" i="7" s="1"/>
  <c r="L28" i="1"/>
  <c r="O28" i="1" s="1"/>
  <c r="L37" i="9"/>
  <c r="O37" i="9" s="1"/>
  <c r="O37" i="2"/>
  <c r="O140" i="7"/>
  <c r="L37" i="7"/>
  <c r="O37" i="7" s="1"/>
  <c r="P37" i="5"/>
  <c r="O11" i="1"/>
  <c r="L9" i="1"/>
  <c r="O9" i="1" s="1"/>
  <c r="P37" i="4"/>
  <c r="O329" i="1"/>
  <c r="M37" i="7"/>
  <c r="P37" i="7" s="1"/>
  <c r="O638" i="1"/>
  <c r="L636" i="1"/>
  <c r="O636" i="1" s="1"/>
  <c r="P20" i="15"/>
  <c r="M18" i="15"/>
  <c r="P18" i="15" s="1"/>
  <c r="O12" i="6"/>
  <c r="L10" i="6"/>
  <c r="M8" i="9"/>
  <c r="P8" i="9" s="1"/>
  <c r="O41" i="1"/>
  <c r="O20" i="15"/>
  <c r="L18" i="15"/>
  <c r="O18" i="15" s="1"/>
  <c r="O12" i="12"/>
  <c r="L10" i="12"/>
  <c r="O10" i="12" s="1"/>
  <c r="M8" i="4"/>
  <c r="P8" i="4" s="1"/>
  <c r="O10" i="13"/>
  <c r="L8" i="13"/>
  <c r="O8" i="13" s="1"/>
  <c r="O55" i="1"/>
  <c r="L53" i="1"/>
  <c r="O53" i="1" s="1"/>
  <c r="O20" i="14"/>
  <c r="L18" i="14"/>
  <c r="O18" i="14" s="1"/>
  <c r="P26" i="1"/>
  <c r="M16" i="1"/>
  <c r="M20" i="1"/>
  <c r="O10" i="2"/>
  <c r="L8" i="2"/>
  <c r="O8" i="2" s="1"/>
  <c r="L37" i="13"/>
  <c r="O37" i="13" s="1"/>
  <c r="L10" i="15"/>
  <c r="O12" i="15"/>
  <c r="O66" i="6"/>
  <c r="L37" i="6"/>
  <c r="O37" i="6" s="1"/>
  <c r="L66" i="1"/>
  <c r="O66" i="1" s="1"/>
  <c r="O20" i="12"/>
  <c r="L18" i="12"/>
  <c r="O18" i="12" s="1"/>
  <c r="O220" i="14"/>
  <c r="L37" i="14"/>
  <c r="O37" i="14" s="1"/>
  <c r="P10" i="14"/>
  <c r="M8" i="14"/>
  <c r="P8" i="14" s="1"/>
  <c r="L94" i="1"/>
  <c r="O94" i="1" s="1"/>
  <c r="O12" i="14"/>
  <c r="L10" i="14"/>
  <c r="O53" i="12"/>
  <c r="L37" i="12"/>
  <c r="O37" i="12" s="1"/>
  <c r="O53" i="8"/>
  <c r="L37" i="8"/>
  <c r="O37" i="8" s="1"/>
  <c r="P329" i="15"/>
  <c r="M37" i="15"/>
  <c r="P37" i="15" s="1"/>
  <c r="L8" i="3"/>
  <c r="O8" i="3" s="1"/>
  <c r="O9" i="10"/>
  <c r="O9" i="12"/>
  <c r="P43" i="1"/>
  <c r="M41" i="1"/>
  <c r="O20" i="4"/>
  <c r="L18" i="4"/>
  <c r="O18" i="4" s="1"/>
  <c r="P20" i="6"/>
  <c r="M18" i="6"/>
  <c r="P18" i="6" s="1"/>
  <c r="L8" i="8"/>
  <c r="O8" i="8" s="1"/>
  <c r="O9" i="8"/>
  <c r="O12" i="4"/>
  <c r="L10" i="4"/>
  <c r="P16" i="6"/>
  <c r="M10" i="6"/>
  <c r="O66" i="10"/>
  <c r="L37" i="10"/>
  <c r="O37" i="10" s="1"/>
  <c r="P16" i="15"/>
  <c r="M10" i="15"/>
  <c r="O20" i="6"/>
  <c r="L18" i="6"/>
  <c r="O18" i="6" s="1"/>
  <c r="P10" i="8"/>
  <c r="M8" i="8"/>
  <c r="P8" i="8" s="1"/>
  <c r="M8" i="12"/>
  <c r="P8" i="12" s="1"/>
  <c r="O10" i="11"/>
  <c r="L8" i="11"/>
  <c r="O8" i="11" s="1"/>
  <c r="L37" i="11"/>
  <c r="O37" i="11" s="1"/>
  <c r="L37" i="15"/>
  <c r="O37" i="15" s="1"/>
  <c r="O41" i="15"/>
  <c r="O10" i="9" l="1"/>
  <c r="L8" i="10"/>
  <c r="O8" i="10" s="1"/>
  <c r="L18" i="1"/>
  <c r="O18" i="1" s="1"/>
  <c r="L10" i="1"/>
  <c r="L8" i="1" s="1"/>
  <c r="O8" i="1" s="1"/>
  <c r="L8" i="12"/>
  <c r="O8" i="12" s="1"/>
  <c r="M8" i="2"/>
  <c r="P8" i="2" s="1"/>
  <c r="P10" i="7"/>
  <c r="M8" i="7"/>
  <c r="P8" i="7" s="1"/>
  <c r="P10" i="15"/>
  <c r="M8" i="15"/>
  <c r="P8" i="15" s="1"/>
  <c r="O10" i="4"/>
  <c r="L8" i="4"/>
  <c r="O8" i="4" s="1"/>
  <c r="O10" i="6"/>
  <c r="L8" i="6"/>
  <c r="O8" i="6" s="1"/>
  <c r="P20" i="1"/>
  <c r="M18" i="1"/>
  <c r="P18" i="1" s="1"/>
  <c r="M37" i="1"/>
  <c r="P37" i="1" s="1"/>
  <c r="P41" i="1"/>
  <c r="O10" i="14"/>
  <c r="L8" i="14"/>
  <c r="O8" i="14" s="1"/>
  <c r="P16" i="1"/>
  <c r="M10" i="1"/>
  <c r="P10" i="6"/>
  <c r="M8" i="6"/>
  <c r="P8" i="6" s="1"/>
  <c r="O10" i="15"/>
  <c r="L8" i="15"/>
  <c r="O8" i="15" s="1"/>
  <c r="L37" i="1"/>
  <c r="O37" i="1" s="1"/>
  <c r="O10" i="1" l="1"/>
  <c r="P10" i="1"/>
  <c r="M8" i="1"/>
  <c r="P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32" authorId="0" shapeId="0" xr:uid="{00000000-0006-0000-0800-000001000000}">
      <text>
        <r>
          <rPr>
            <sz val="11"/>
            <color theme="1"/>
            <rFont val="Calibri"/>
            <scheme val="minor"/>
          </rPr>
          <t>หักงบลงทุนออก</t>
        </r>
      </text>
    </comment>
  </commentList>
</comments>
</file>

<file path=xl/sharedStrings.xml><?xml version="1.0" encoding="utf-8"?>
<sst xmlns="http://schemas.openxmlformats.org/spreadsheetml/2006/main" count="19740" uniqueCount="291">
  <si>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</si>
  <si>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</si>
  <si>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</si>
  <si>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</si>
  <si>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</si>
  <si>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</si>
  <si>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</si>
  <si>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</si>
  <si>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</si>
  <si>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</si>
  <si>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</si>
  <si>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</si>
  <si>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</si>
  <si>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</si>
  <si>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</si>
  <si>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</si>
  <si>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</si>
  <si>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</si>
  <si>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</si>
  <si>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</si>
  <si>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</si>
  <si>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</si>
  <si>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</si>
  <si>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</si>
  <si>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</si>
  <si>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</si>
  <si>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</si>
  <si>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</si>
  <si>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</si>
  <si>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</si>
  <si>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</si>
  <si>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</si>
  <si>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</si>
  <si>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</si>
  <si>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</si>
  <si>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</si>
  <si>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</si>
  <si>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</si>
  <si>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</si>
  <si>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</si>
  <si>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</si>
  <si>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</si>
  <si>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</si>
  <si>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</si>
  <si>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</si>
  <si>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</si>
  <si>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</si>
  <si>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</si>
  <si>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</si>
  <si>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</si>
  <si>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</si>
  <si>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</si>
  <si>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</si>
  <si>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</si>
  <si>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</si>
  <si>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</si>
  <si>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</si>
  <si>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</si>
  <si>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</si>
  <si>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</si>
  <si>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</si>
  <si>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</si>
  <si>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</si>
  <si>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</si>
  <si>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</si>
  <si>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</si>
  <si>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</si>
  <si>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</si>
  <si>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</si>
  <si>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</si>
  <si>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</si>
  <si>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</si>
  <si>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</si>
  <si>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</si>
  <si>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</si>
  <si>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</si>
  <si>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</si>
  <si>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</si>
  <si>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</si>
  <si>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</si>
  <si>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</si>
  <si>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</si>
  <si>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</si>
  <si>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</si>
  <si>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</si>
  <si>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</si>
  <si>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</si>
  <si>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</si>
  <si>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</si>
  <si>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</si>
  <si>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</si>
  <si>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</si>
  <si>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</si>
  <si>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</si>
  <si>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</si>
  <si>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</si>
  <si>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</si>
  <si>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</si>
  <si>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</si>
  <si>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</si>
  <si>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</si>
  <si>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</si>
  <si>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</si>
  <si>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</si>
  <si>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</si>
  <si>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</si>
  <si>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</si>
  <si>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</si>
  <si>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</si>
  <si>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</si>
  <si>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</si>
  <si>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</si>
  <si>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</si>
  <si>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</si>
  <si>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</si>
  <si>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</si>
  <si>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</si>
  <si>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</si>
  <si>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</si>
  <si>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</si>
  <si>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</si>
  <si>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</si>
  <si>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</si>
  <si>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</si>
  <si>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</si>
  <si>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</si>
  <si>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</si>
  <si>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</si>
  <si>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</si>
  <si>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</si>
  <si>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</si>
  <si>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</si>
  <si>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</si>
  <si>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</si>
  <si>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</si>
  <si>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</si>
  <si>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</si>
  <si>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</si>
  <si>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</si>
  <si>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</si>
  <si>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</si>
  <si>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</si>
  <si>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</si>
  <si>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</si>
  <si>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</si>
  <si>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</si>
  <si>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</si>
  <si>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</si>
  <si>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</si>
  <si>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</si>
  <si>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</si>
  <si>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</si>
  <si>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</si>
  <si>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</si>
  <si>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</si>
  <si>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</si>
  <si>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</si>
  <si>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</si>
  <si>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</si>
  <si>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</si>
  <si>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</si>
  <si>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</si>
  <si>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</si>
  <si>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</si>
  <si>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</si>
  <si>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</si>
  <si>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</si>
  <si>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</si>
  <si>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</si>
  <si>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</si>
  <si>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</si>
  <si>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</si>
  <si>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</si>
  <si>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</si>
  <si>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</si>
  <si>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</si>
  <si>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</si>
  <si>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</si>
  <si>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</si>
  <si>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</si>
  <si>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</si>
  <si>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</si>
  <si>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</si>
  <si>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</si>
  <si>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</si>
  <si>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</si>
  <si>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</si>
  <si>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</si>
  <si>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</si>
  <si>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</si>
  <si>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</si>
  <si>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</si>
  <si>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</si>
  <si>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</si>
  <si>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</si>
  <si>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</si>
  <si>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</si>
  <si>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</si>
  <si>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</si>
  <si>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</si>
  <si>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</si>
  <si>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</si>
  <si>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</si>
  <si>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</si>
  <si>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</si>
  <si>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</si>
  <si>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</si>
  <si>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</si>
  <si>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</si>
  <si>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</si>
  <si>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</si>
  <si>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</si>
  <si>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</si>
  <si>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</si>
  <si>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</si>
  <si>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</si>
  <si>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</si>
  <si>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</si>
  <si>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</si>
  <si>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</si>
  <si>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</si>
  <si>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</si>
  <si>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</si>
  <si>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</si>
  <si>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</si>
  <si>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</si>
  <si>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</si>
  <si>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</si>
  <si>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</si>
  <si>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</si>
  <si>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</si>
  <si>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</si>
  <si>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</si>
  <si>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</si>
  <si>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</si>
  <si>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</si>
  <si>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</si>
  <si>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</si>
  <si>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</si>
  <si>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</si>
  <si>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</si>
  <si>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</si>
  <si>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</si>
  <si>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</si>
  <si>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</si>
  <si>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</si>
  <si>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</si>
  <si>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</si>
  <si>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</si>
  <si>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</si>
  <si>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</si>
  <si>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</si>
  <si>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</si>
  <si>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</si>
  <si>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</si>
  <si>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</si>
  <si>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</si>
  <si>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</si>
  <si>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</si>
  <si>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</si>
  <si>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</si>
  <si>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</si>
  <si>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</si>
  <si>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</si>
  <si>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</si>
  <si>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</si>
  <si>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</si>
  <si>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</si>
  <si>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</si>
  <si>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</si>
  <si>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</si>
  <si>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</si>
  <si>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</si>
  <si>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</si>
  <si>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</si>
  <si>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</si>
  <si>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</si>
  <si>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</si>
  <si>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</si>
  <si>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</si>
  <si>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</si>
  <si>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</si>
  <si>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</si>
  <si>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</si>
  <si>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</si>
  <si>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</si>
  <si>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</si>
  <si>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</si>
  <si>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</si>
  <si>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</si>
  <si>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กรกฎาคม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</si>
</sst>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7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05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20" fillId="32" borderId="50" xfId="0" applyFont="1" applyFill="1" applyBorder="1" applyAlignment="1"/>
    <xf numFmtId="0" fontId="20" fillId="32" borderId="28" xfId="0" applyFont="1" applyFill="1" applyBorder="1" applyAlignment="1"/>
    <xf numFmtId="188" fontId="20" fillId="32" borderId="28" xfId="0" applyNumberFormat="1" applyFont="1" applyFill="1" applyBorder="1" applyAlignment="1"/>
    <xf numFmtId="188" fontId="21" fillId="32" borderId="28" xfId="0" applyNumberFormat="1" applyFont="1" applyFill="1" applyBorder="1" applyAlignment="1">
      <alignment horizontal="right"/>
    </xf>
    <xf numFmtId="191" fontId="20" fillId="32" borderId="28" xfId="0" applyNumberFormat="1" applyFont="1" applyFill="1" applyBorder="1" applyAlignment="1"/>
    <xf numFmtId="0" fontId="20" fillId="15" borderId="17" xfId="0" applyFont="1" applyFill="1" applyBorder="1" applyAlignment="1"/>
    <xf numFmtId="0" fontId="20" fillId="15" borderId="18" xfId="0" applyFont="1" applyFill="1" applyBorder="1" applyAlignment="1"/>
    <xf numFmtId="0" fontId="21" fillId="15" borderId="18" xfId="0" applyFont="1" applyFill="1" applyBorder="1" applyAlignment="1"/>
    <xf numFmtId="0" fontId="23" fillId="15" borderId="18" xfId="0" applyFont="1" applyFill="1" applyBorder="1" applyAlignment="1"/>
    <xf numFmtId="0" fontId="23" fillId="0" borderId="19" xfId="0" applyFont="1" applyBorder="1" applyAlignment="1">
      <alignment horizontal="center"/>
    </xf>
    <xf numFmtId="3" fontId="20" fillId="0" borderId="19" xfId="0" applyNumberFormat="1" applyFont="1" applyBorder="1" applyAlignment="1"/>
    <xf numFmtId="0" fontId="20" fillId="0" borderId="19" xfId="0" applyFont="1" applyBorder="1" applyAlignment="1"/>
    <xf numFmtId="188" fontId="20" fillId="0" borderId="19" xfId="0" applyNumberFormat="1" applyFont="1" applyBorder="1" applyAlignment="1"/>
    <xf numFmtId="188" fontId="21" fillId="15" borderId="19" xfId="0" applyNumberFormat="1" applyFont="1" applyFill="1" applyBorder="1" applyAlignment="1">
      <alignment horizontal="right"/>
    </xf>
    <xf numFmtId="191" fontId="20" fillId="0" borderId="19" xfId="0" applyNumberFormat="1" applyFont="1" applyBorder="1" applyAlignment="1"/>
    <xf numFmtId="188" fontId="23" fillId="15" borderId="19" xfId="0" applyNumberFormat="1" applyFont="1" applyFill="1" applyBorder="1" applyAlignment="1">
      <alignment horizontal="right"/>
    </xf>
    <xf numFmtId="0" fontId="20" fillId="15" borderId="19" xfId="0" applyFont="1" applyFill="1" applyBorder="1" applyAlignment="1"/>
    <xf numFmtId="188" fontId="20" fillId="15" borderId="19" xfId="0" applyNumberFormat="1" applyFont="1" applyFill="1" applyBorder="1" applyAlignment="1"/>
    <xf numFmtId="3" fontId="20" fillId="15" borderId="19" xfId="0" applyNumberFormat="1" applyFont="1" applyFill="1" applyBorder="1" applyAlignment="1"/>
    <xf numFmtId="0" fontId="20" fillId="0" borderId="17" xfId="0" applyFont="1" applyBorder="1" applyAlignment="1"/>
    <xf numFmtId="0" fontId="20" fillId="0" borderId="18" xfId="0" applyFont="1" applyBorder="1" applyAlignment="1"/>
    <xf numFmtId="0" fontId="23" fillId="23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/>
    <xf numFmtId="189" fontId="23" fillId="4" borderId="19" xfId="0" applyNumberFormat="1" applyFont="1" applyFill="1" applyBorder="1" applyAlignment="1">
      <alignment horizontal="right" wrapText="1"/>
    </xf>
    <xf numFmtId="191" fontId="20" fillId="15" borderId="19" xfId="0" applyNumberFormat="1" applyFont="1" applyFill="1" applyBorder="1" applyAlignment="1"/>
    <xf numFmtId="0" fontId="23" fillId="10" borderId="18" xfId="0" applyFont="1" applyFill="1" applyBorder="1" applyAlignment="1">
      <alignment horizontal="right"/>
    </xf>
    <xf numFmtId="187" fontId="23" fillId="15" borderId="19" xfId="0" applyNumberFormat="1" applyFont="1" applyFill="1" applyBorder="1" applyAlignment="1">
      <alignment horizontal="right"/>
    </xf>
    <xf numFmtId="189" fontId="23" fillId="15" borderId="19" xfId="0" applyNumberFormat="1" applyFont="1" applyFill="1" applyBorder="1" applyAlignment="1">
      <alignment horizontal="right"/>
    </xf>
    <xf numFmtId="188" fontId="23" fillId="0" borderId="19" xfId="0" applyNumberFormat="1" applyFont="1" applyBorder="1" applyAlignment="1">
      <alignment horizontal="right"/>
    </xf>
    <xf numFmtId="191" fontId="23" fillId="6" borderId="19" xfId="0" applyNumberFormat="1" applyFont="1" applyFill="1" applyBorder="1" applyAlignment="1">
      <alignment horizontal="right"/>
    </xf>
    <xf numFmtId="187" fontId="20" fillId="0" borderId="19" xfId="0" applyNumberFormat="1" applyFont="1" applyBorder="1" applyAlignment="1"/>
    <xf numFmtId="189" fontId="20" fillId="0" borderId="19" xfId="0" applyNumberFormat="1" applyFont="1" applyBorder="1" applyAlignment="1"/>
    <xf numFmtId="0" fontId="20" fillId="0" borderId="43" xfId="0" applyFont="1" applyBorder="1" applyAlignment="1"/>
    <xf numFmtId="0" fontId="25" fillId="0" borderId="44" xfId="0" applyFont="1" applyBorder="1" applyAlignment="1"/>
    <xf numFmtId="0" fontId="20" fillId="0" borderId="44" xfId="0" applyFont="1" applyBorder="1" applyAlignment="1"/>
    <xf numFmtId="0" fontId="23" fillId="0" borderId="46" xfId="0" applyFont="1" applyBorder="1" applyAlignment="1">
      <alignment horizontal="center"/>
    </xf>
    <xf numFmtId="187" fontId="20" fillId="0" borderId="46" xfId="0" applyNumberFormat="1" applyFont="1" applyBorder="1" applyAlignment="1"/>
    <xf numFmtId="189" fontId="23" fillId="4" borderId="46" xfId="0" applyNumberFormat="1" applyFont="1" applyFill="1" applyBorder="1" applyAlignment="1">
      <alignment horizontal="right" wrapText="1"/>
    </xf>
    <xf numFmtId="188" fontId="20" fillId="0" borderId="46" xfId="0" applyNumberFormat="1" applyFont="1" applyBorder="1" applyAlignment="1"/>
    <xf numFmtId="191" fontId="20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/>
    </xf>
    <xf numFmtId="188" fontId="1" fillId="10" borderId="19" xfId="0" applyNumberFormat="1" applyFont="1" applyFill="1" applyBorder="1" applyAlignment="1">
      <alignment vertical="center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4" fillId="0" borderId="6" xfId="0" applyFont="1" applyBorder="1"/>
    <xf numFmtId="0" fontId="4" fillId="0" borderId="7" xfId="0" applyFont="1" applyBorder="1"/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23" fillId="15" borderId="18" xfId="0" applyFont="1" applyFill="1" applyBorder="1" applyAlignment="1"/>
    <xf numFmtId="0" fontId="21" fillId="32" borderId="51" xfId="0" applyFont="1" applyFill="1" applyBorder="1" applyAlignment="1"/>
    <xf numFmtId="0" fontId="4" fillId="0" borderId="51" xfId="0" applyFont="1" applyBorder="1"/>
    <xf numFmtId="0" fontId="22" fillId="15" borderId="18" xfId="0" applyFont="1" applyFill="1" applyBorder="1" applyAlignment="1"/>
    <xf numFmtId="0" fontId="24" fillId="22" borderId="18" xfId="0" applyFont="1" applyFill="1" applyBorder="1" applyAlignment="1"/>
    <xf numFmtId="0" fontId="23" fillId="23" borderId="18" xfId="0" applyFont="1" applyFill="1" applyBorder="1" applyAlignment="1"/>
    <xf numFmtId="0" fontId="23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8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1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63433544</v>
      </c>
      <c r="M8" s="23">
        <f t="shared" ca="1" si="0"/>
        <v>46675852.780000001</v>
      </c>
      <c r="N8" s="23">
        <f t="shared" ca="1" si="0"/>
        <v>47204390.909999996</v>
      </c>
      <c r="O8" s="22">
        <f t="shared" ref="O8:O16" ca="1" si="1">IF(L8&gt;0,N8*100/L8,0)</f>
        <v>74.41550311299018</v>
      </c>
      <c r="P8" s="22">
        <f t="shared" ref="P8:P16" ca="1" si="2">IF(M8&gt;0,N8*100/M8,0)</f>
        <v>101.13235880764984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63433544</v>
      </c>
      <c r="M10" s="30">
        <f t="shared" ca="1" si="4"/>
        <v>46675852.780000001</v>
      </c>
      <c r="N10" s="30">
        <f t="shared" ca="1" si="4"/>
        <v>47204390.909999996</v>
      </c>
      <c r="O10" s="29">
        <f t="shared" ca="1" si="1"/>
        <v>74.41550311299018</v>
      </c>
      <c r="P10" s="29">
        <f t="shared" ca="1" si="2"/>
        <v>101.13235880764984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52729774</v>
      </c>
      <c r="M12" s="38">
        <f t="shared" ca="1" si="6"/>
        <v>37007582.780000001</v>
      </c>
      <c r="N12" s="38">
        <f t="shared" ca="1" si="6"/>
        <v>41416620.909999996</v>
      </c>
      <c r="O12" s="38">
        <f t="shared" ca="1" si="1"/>
        <v>78.545037780742234</v>
      </c>
      <c r="P12" s="38">
        <f t="shared" ca="1" si="2"/>
        <v>111.91387764018667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23850900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28878874</v>
      </c>
      <c r="M14" s="38">
        <f t="shared" si="8"/>
        <v>0</v>
      </c>
      <c r="N14" s="38">
        <f t="shared" ca="1" si="8"/>
        <v>12137924.139999999</v>
      </c>
      <c r="O14" s="41">
        <f t="shared" ca="1" si="1"/>
        <v>42.030461921749435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10703770</v>
      </c>
      <c r="M16" s="38">
        <f t="shared" ca="1" si="10"/>
        <v>9668270</v>
      </c>
      <c r="N16" s="38">
        <f t="shared" ca="1" si="10"/>
        <v>5787770</v>
      </c>
      <c r="O16" s="50">
        <f t="shared" ca="1" si="1"/>
        <v>54.072256784291888</v>
      </c>
      <c r="P16" s="50">
        <f t="shared" ca="1" si="2"/>
        <v>59.863553665754061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45013650</v>
      </c>
      <c r="M18" s="23">
        <f t="shared" ca="1" si="11"/>
        <v>46675852.780000001</v>
      </c>
      <c r="N18" s="23">
        <f t="shared" ca="1" si="11"/>
        <v>34059466.769999996</v>
      </c>
      <c r="O18" s="22">
        <f t="shared" ref="O18:O26" ca="1" si="12">IF(L18&gt;0,N18*100/L18,0)</f>
        <v>75.664752291804803</v>
      </c>
      <c r="P18" s="22">
        <f t="shared" ref="P18:P26" ca="1" si="13">IF(M18&gt;0,N18*100/M18,0)</f>
        <v>72.970207808595276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45013650</v>
      </c>
      <c r="M20" s="30">
        <f t="shared" ca="1" si="15"/>
        <v>46675852.780000001</v>
      </c>
      <c r="N20" s="30">
        <f t="shared" ca="1" si="15"/>
        <v>34059466.769999996</v>
      </c>
      <c r="O20" s="29">
        <f t="shared" ca="1" si="12"/>
        <v>75.664752291804803</v>
      </c>
      <c r="P20" s="29">
        <f t="shared" ca="1" si="13"/>
        <v>72.970207808595276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35316880</v>
      </c>
      <c r="M22" s="42">
        <f t="shared" ca="1" si="17"/>
        <v>37007582.780000001</v>
      </c>
      <c r="N22" s="41">
        <f t="shared" ca="1" si="17"/>
        <v>29278696.77</v>
      </c>
      <c r="O22" s="41">
        <f t="shared" ca="1" si="12"/>
        <v>82.902840709598351</v>
      </c>
      <c r="P22" s="41">
        <f t="shared" ca="1" si="13"/>
        <v>79.115398982024516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23850900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11465980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9696770</v>
      </c>
      <c r="M26" s="50">
        <f t="shared" ca="1" si="21"/>
        <v>9668270</v>
      </c>
      <c r="N26" s="50">
        <f t="shared" ca="1" si="21"/>
        <v>4780770</v>
      </c>
      <c r="O26" s="50">
        <f t="shared" ca="1" si="12"/>
        <v>49.302705952600711</v>
      </c>
      <c r="P26" s="50">
        <f t="shared" ca="1" si="13"/>
        <v>49.448039825118663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2">L29+L30</f>
        <v>18419894</v>
      </c>
      <c r="M28" s="23">
        <f t="shared" si="22"/>
        <v>0</v>
      </c>
      <c r="N28" s="23">
        <f t="shared" ca="1" si="22"/>
        <v>13144924.139999999</v>
      </c>
      <c r="O28" s="22">
        <f t="shared" ref="O28:O30" ca="1" si="23">IF(L28&gt;0,N28*100/L28,0)</f>
        <v>71.362648123816555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18419894</v>
      </c>
      <c r="M30" s="30">
        <f t="shared" si="26"/>
        <v>0</v>
      </c>
      <c r="N30" s="30">
        <f t="shared" ca="1" si="26"/>
        <v>13144924.139999999</v>
      </c>
      <c r="O30" s="29">
        <f t="shared" ca="1" si="23"/>
        <v>71.362648123816555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L352+L383+L404+L437+L457+L535+L553+L566+L582+L599-103000-904000</f>
        <v>17412894</v>
      </c>
      <c r="M32" s="41">
        <f>M352+M383+M404+M437+M457+M535+M553+M566+M582+M599</f>
        <v>0</v>
      </c>
      <c r="N32" s="41">
        <f ca="1">(N352+N383+N404+N437+N457+N535+N553+N566+N582+N599)-103000-904000</f>
        <v>12137924.139999999</v>
      </c>
      <c r="O32" s="41">
        <f t="shared" ca="1" si="28"/>
        <v>69.706529770410356</v>
      </c>
      <c r="P32" s="41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29">L353+L384+L405+L438+L458+L536+L554+L567+L583+L600</f>
        <v>0</v>
      </c>
      <c r="M33" s="41">
        <f t="shared" si="29"/>
        <v>0</v>
      </c>
      <c r="N33" s="41">
        <f t="shared" ca="1" si="29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0">L354+L385+L406+L439+L459+L537+L555+L568+L584+L601</f>
        <v>17412894</v>
      </c>
      <c r="M34" s="41">
        <f t="shared" si="30"/>
        <v>0</v>
      </c>
      <c r="N34" s="41">
        <f t="shared" ca="1" si="30"/>
        <v>12137924.139999999</v>
      </c>
      <c r="O34" s="41">
        <f t="shared" ca="1" si="28"/>
        <v>69.706529770410356</v>
      </c>
      <c r="P34" s="41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f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1007000</v>
      </c>
      <c r="M36" s="52">
        <v>0</v>
      </c>
      <c r="N36" s="52">
        <f>กระบี่!N36+ชุมพร!N36+ตรัง!N36+นครศรีธรรมราช!N36+นราธิวาส!N36+ปัตตานี!N36+พังงา!N36+พัทลุง!N36+ภูเก็ต!N36+ยะลา!N36+ระนอง!N36+สงขลา!N36+สตูล!N36+สุราษฎร์ธานี!N36</f>
        <v>1007000</v>
      </c>
      <c r="O36" s="50">
        <f t="shared" si="28"/>
        <v>100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1">L41+L53+L66+L94+L118+L140+L220+L250+L271+L290+L310+L329</f>
        <v>45013650</v>
      </c>
      <c r="M37" s="55">
        <f t="shared" ca="1" si="31"/>
        <v>46675852.780000001</v>
      </c>
      <c r="N37" s="55">
        <f t="shared" ca="1" si="31"/>
        <v>34059466.769999996</v>
      </c>
      <c r="O37" s="56">
        <f t="shared" ca="1" si="28"/>
        <v>75.664752291804803</v>
      </c>
      <c r="P37" s="56">
        <f t="shared" ca="1" si="24"/>
        <v>72.970207808595276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2">L42+L43</f>
        <v>10447100</v>
      </c>
      <c r="M41" s="79">
        <f t="shared" ca="1" si="32"/>
        <v>10512600</v>
      </c>
      <c r="N41" s="79">
        <f t="shared" ca="1" si="32"/>
        <v>9107722.5099999998</v>
      </c>
      <c r="O41" s="78">
        <f t="shared" ref="O41:O43" ca="1" si="33">IF(L41&gt;0,N41*100/L41,0)</f>
        <v>87.179432665524402</v>
      </c>
      <c r="P41" s="78">
        <f t="shared" ref="P41:P43" ca="1" si="34">IF(M41&gt;0,N41*100/M41,0)</f>
        <v>86.636250879896508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5">L44+L48</f>
        <v>0</v>
      </c>
      <c r="M42" s="79">
        <f t="shared" si="35"/>
        <v>0</v>
      </c>
      <c r="N42" s="79">
        <f t="shared" si="35"/>
        <v>0</v>
      </c>
      <c r="O42" s="78">
        <f t="shared" si="33"/>
        <v>0</v>
      </c>
      <c r="P42" s="78">
        <f t="shared" si="34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6">L45+L49</f>
        <v>10447100</v>
      </c>
      <c r="M43" s="79">
        <f t="shared" ca="1" si="36"/>
        <v>10512600</v>
      </c>
      <c r="N43" s="79">
        <f t="shared" ca="1" si="36"/>
        <v>9107722.5099999998</v>
      </c>
      <c r="O43" s="78">
        <f t="shared" ca="1" si="33"/>
        <v>87.179432665524402</v>
      </c>
      <c r="P43" s="78">
        <f t="shared" ca="1" si="34"/>
        <v>86.636250879896508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8868300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7436922.5099999998</v>
      </c>
      <c r="O45" s="92">
        <f ca="1">IF(L45&gt;0,N45*100/L45,0)</f>
        <v>84.758014998347448</v>
      </c>
      <c r="P45" s="92">
        <f ca="1">IF(M45&gt;0,N45*100/M45,0)</f>
        <v>83.859618077872867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1672800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1644300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1670800</v>
      </c>
      <c r="O49" s="101">
        <f ca="1">IF(L49&gt;0,N49*100/L49,0)</f>
        <v>99.880439980870392</v>
      </c>
      <c r="P49" s="101">
        <f ca="1">IF(M49&gt;0,N49*100/M49,0)</f>
        <v>101.61162804840966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7">L54+L55</f>
        <v>5554200</v>
      </c>
      <c r="M53" s="125">
        <f t="shared" ca="1" si="37"/>
        <v>5863374.7799999993</v>
      </c>
      <c r="N53" s="125">
        <f t="shared" ca="1" si="37"/>
        <v>5207779.2999999989</v>
      </c>
      <c r="O53" s="124">
        <f t="shared" ref="O53:O55" ca="1" si="38">IF(L53&gt;0,N53*100/L53,0)</f>
        <v>93.762905548953924</v>
      </c>
      <c r="P53" s="124">
        <f t="shared" ref="P53:P55" ca="1" si="39">IF(M53&gt;0,N53*100/M53,0)</f>
        <v>88.818803085277096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0">L56+L60</f>
        <v>0</v>
      </c>
      <c r="M54" s="125">
        <f t="shared" si="40"/>
        <v>0</v>
      </c>
      <c r="N54" s="125">
        <f t="shared" si="40"/>
        <v>0</v>
      </c>
      <c r="O54" s="124">
        <f t="shared" si="38"/>
        <v>0</v>
      </c>
      <c r="P54" s="124">
        <f t="shared" si="39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1">L57+L61</f>
        <v>5554200</v>
      </c>
      <c r="M55" s="125">
        <f t="shared" ca="1" si="41"/>
        <v>5863374.7799999993</v>
      </c>
      <c r="N55" s="125">
        <f t="shared" ca="1" si="41"/>
        <v>5207779.2999999989</v>
      </c>
      <c r="O55" s="124">
        <f t="shared" ca="1" si="38"/>
        <v>93.762905548953924</v>
      </c>
      <c r="P55" s="124">
        <f t="shared" ca="1" si="39"/>
        <v>88.818803085277096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5863374.7799999993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5207779.2999999989</v>
      </c>
      <c r="O57" s="92">
        <f ca="1">IF(L57&gt;0,N57*100/L57,0)</f>
        <v>93.762905548953924</v>
      </c>
      <c r="P57" s="92">
        <f ca="1">IF(M57&gt;0,N57*100/M57,0)</f>
        <v>88.818803085277096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2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2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2164540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1757092.9000000001</v>
      </c>
      <c r="O66" s="155">
        <f t="shared" ref="O66:O68" ca="1" si="43">IF(L66&gt;0,N66*100/L66,0)</f>
        <v>85.578263198909013</v>
      </c>
      <c r="P66" s="155">
        <f t="shared" ref="P66:P68" ca="1" si="44">IF(M66&gt;0,N66*100/M66,0)</f>
        <v>81.176273018747636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3"/>
        <v>0</v>
      </c>
      <c r="P67" s="160">
        <f t="shared" si="44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2164540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1757092.9000000001</v>
      </c>
      <c r="O68" s="160">
        <f t="shared" ca="1" si="43"/>
        <v>85.578263198909013</v>
      </c>
      <c r="P68" s="160">
        <f t="shared" ca="1" si="44"/>
        <v>81.176273018747636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8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8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3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2164540</v>
      </c>
      <c r="N70" s="174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1757092.9000000001</v>
      </c>
      <c r="O70" s="175">
        <f ca="1">IF(L70&gt;0,N70*100/L70,0)</f>
        <v>85.578263198909013</v>
      </c>
      <c r="P70" s="175">
        <f ca="1">IF(M70&gt;0,N70*100/M70,0)</f>
        <v>81.176273018747636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7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8">
        <f t="shared" ref="K80:K88" ca="1" si="45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7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8">
        <f t="shared" ca="1" si="45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0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7">
        <f t="shared" ca="1" si="45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0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7">
        <f t="shared" ca="1" si="45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5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7">
        <f t="shared" ca="1" si="45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5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7">
        <f t="shared" ca="1" si="45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0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7">
        <f t="shared" ca="1" si="45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0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7">
        <f t="shared" ca="1" si="45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4</v>
      </c>
      <c r="J88" s="210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2</v>
      </c>
      <c r="K88" s="167">
        <f t="shared" ca="1" si="45"/>
        <v>50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23</v>
      </c>
      <c r="K92" s="147">
        <f t="shared" ref="K92:K93" ca="1" si="46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7">
        <f t="shared" ca="1" si="46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1197000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881755.16</v>
      </c>
      <c r="O94" s="155">
        <f t="shared" ref="O94:O96" ca="1" si="47">IF(L94&gt;0,N94*100/L94,0)</f>
        <v>74.864591611479028</v>
      </c>
      <c r="P94" s="155">
        <f t="shared" ref="P94:P96" ca="1" si="48">IF(M94&gt;0,N94*100/M94,0)</f>
        <v>73.663756056808694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7"/>
        <v>0</v>
      </c>
      <c r="P95" s="160">
        <f t="shared" si="48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1197000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881755.16</v>
      </c>
      <c r="O96" s="160">
        <f t="shared" ca="1" si="47"/>
        <v>74.864591611479028</v>
      </c>
      <c r="P96" s="160">
        <f t="shared" ca="1" si="48"/>
        <v>73.663756056808694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8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8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3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642600</v>
      </c>
      <c r="N98" s="174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327355.16000000003</v>
      </c>
      <c r="O98" s="175">
        <f ca="1">IF(L98&gt;0,N98*100/L98,0)</f>
        <v>52.511254411292917</v>
      </c>
      <c r="P98" s="175">
        <f ca="1">IF(M98&gt;0,N98*100/M98,0)</f>
        <v>50.942290694055409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0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0">
        <f t="shared" ref="K108:K113" ca="1" si="49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0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23</v>
      </c>
      <c r="K109" s="230">
        <f t="shared" ca="1" si="49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0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0">
        <f t="shared" ca="1" si="49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0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23</v>
      </c>
      <c r="K111" s="230">
        <f t="shared" ca="1" si="49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0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23</v>
      </c>
      <c r="K112" s="230">
        <f t="shared" ca="1" si="49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0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0">
        <f t="shared" ca="1" si="49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369318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407018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306986.33999999997</v>
      </c>
      <c r="O118" s="155">
        <f t="shared" ref="O118:O120" ca="1" si="50">IF(L118&gt;0,N118*100/L118,0)</f>
        <v>83.12249606030575</v>
      </c>
      <c r="P118" s="155">
        <f t="shared" ref="P118:P120" ca="1" si="51">IF(M118&gt;0,N118*100/M118,0)</f>
        <v>75.423283491147799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0"/>
        <v>0</v>
      </c>
      <c r="P119" s="160">
        <f t="shared" si="51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369318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407018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306986.33999999997</v>
      </c>
      <c r="O120" s="160">
        <f t="shared" ca="1" si="50"/>
        <v>83.12249606030575</v>
      </c>
      <c r="P120" s="160">
        <f t="shared" ca="1" si="51"/>
        <v>75.423283491147799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8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8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369318</v>
      </c>
      <c r="M122" s="173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407018</v>
      </c>
      <c r="N122" s="174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306986.33999999997</v>
      </c>
      <c r="O122" s="175">
        <f ca="1">IF(L122&gt;0,N122*100/L122,0)</f>
        <v>83.12249606030575</v>
      </c>
      <c r="P122" s="175">
        <f ca="1">IF(M122&gt;0,N122*100/M122,0)</f>
        <v>75.423283491147799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369318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68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0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0">
        <f t="shared" ref="K132:K133" ca="1" si="52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0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75</v>
      </c>
      <c r="K133" s="230">
        <f t="shared" ca="1" si="52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3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162</v>
      </c>
      <c r="K138" s="274">
        <f ca="1">IF(I138&gt;0,J138*100/I138,0)</f>
        <v>101.25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2454287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2571845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2071827.49</v>
      </c>
      <c r="O140" s="155">
        <f t="shared" ref="O140:O142" ca="1" si="53">IF(L140&gt;0,N140*100/L140,0)</f>
        <v>84.416675392894149</v>
      </c>
      <c r="P140" s="155">
        <f t="shared" ref="P140:P142" ca="1" si="54">IF(M140&gt;0,N140*100/M140,0)</f>
        <v>80.558023131254018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3"/>
        <v>0</v>
      </c>
      <c r="P141" s="160">
        <f t="shared" si="54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2454287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2571845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2071827.49</v>
      </c>
      <c r="O142" s="160">
        <f t="shared" ca="1" si="53"/>
        <v>84.416675392894149</v>
      </c>
      <c r="P142" s="160">
        <f t="shared" ca="1" si="54"/>
        <v>80.558023131254018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8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8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2454287</v>
      </c>
      <c r="M144" s="173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2571845</v>
      </c>
      <c r="N144" s="174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2071827.49</v>
      </c>
      <c r="O144" s="175">
        <f ca="1">IF(L144&gt;0,N144*100/L144,0)</f>
        <v>84.416675392894149</v>
      </c>
      <c r="P144" s="175">
        <f ca="1">IF(M144&gt;0,N144*100/M144,0)</f>
        <v>80.558023131254018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1342787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1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45</v>
      </c>
      <c r="K149" s="282">
        <f ca="1">IF(I149&gt;0,J149*100/I149,0)</f>
        <v>80.357142857142861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5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45</v>
      </c>
      <c r="K158" s="167">
        <f ca="1">IF(I158&gt;0,J158*100/I158,0)</f>
        <v>80.357142857142861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1463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1463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35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4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13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4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4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5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35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4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2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6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10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3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3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0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8</v>
      </c>
      <c r="K185" s="230">
        <f t="shared" ref="K185:K186" ca="1" si="55">IF(I185&gt;0,J185*100/I185,0)</f>
        <v>80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0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10</v>
      </c>
      <c r="K186" s="230">
        <f t="shared" ca="1" si="55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251200</v>
      </c>
      <c r="K189" s="291">
        <f ca="1">IF(I189&gt;0,J189*100/I189,0)</f>
        <v>105.10460251046025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2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12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12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10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5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236200</v>
      </c>
      <c r="K199" s="167">
        <f t="shared" ref="K199:K201" ca="1" si="56">IF(I199&gt;0,J199*100/I199,0)</f>
        <v>98.828451882845187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5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251200</v>
      </c>
      <c r="K200" s="167">
        <f t="shared" ca="1" si="56"/>
        <v>105.10460251046025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5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7">
        <f t="shared" ca="1" si="56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0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0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0">
        <f t="shared" ref="K215:K216" ca="1" si="57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0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4</v>
      </c>
      <c r="K216" s="230">
        <f t="shared" ca="1" si="57"/>
        <v>66.666666666666671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3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322235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307295</v>
      </c>
      <c r="O220" s="155">
        <f t="shared" ref="O220:O222" ca="1" si="58">IF(L220&gt;0,N220*100/L220,0)</f>
        <v>114.1787578724432</v>
      </c>
      <c r="P220" s="155">
        <f t="shared" ref="P220:P222" ca="1" si="59">IF(M220&gt;0,N220*100/M220,0)</f>
        <v>95.363632131829249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8"/>
        <v>0</v>
      </c>
      <c r="P221" s="160">
        <f t="shared" si="59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322235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307295</v>
      </c>
      <c r="O222" s="160">
        <f t="shared" ca="1" si="58"/>
        <v>114.1787578724432</v>
      </c>
      <c r="P222" s="160">
        <f t="shared" ca="1" si="59"/>
        <v>95.363632131829249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8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8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3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322235</v>
      </c>
      <c r="N224" s="174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307295</v>
      </c>
      <c r="O224" s="175">
        <f ca="1">IF(L224&gt;0,N224*100/L224,0)</f>
        <v>114.1787578724432</v>
      </c>
      <c r="P224" s="175">
        <f ca="1">IF(M224&gt;0,N224*100/M224,0)</f>
        <v>95.363632131829249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3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5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4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3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4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435200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345946.6</v>
      </c>
      <c r="O250" s="155">
        <f t="shared" ref="O250:O252" ca="1" si="60">IF(L250&gt;0,N250*100/L250,0)</f>
        <v>79.491406249999997</v>
      </c>
      <c r="P250" s="155">
        <f t="shared" ref="P250:P252" ca="1" si="61">IF(M250&gt;0,N250*100/M250,0)</f>
        <v>79.491406249999997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0"/>
        <v>0</v>
      </c>
      <c r="P251" s="160">
        <f t="shared" si="61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435200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345946.6</v>
      </c>
      <c r="O252" s="160">
        <f t="shared" ca="1" si="60"/>
        <v>79.491406249999997</v>
      </c>
      <c r="P252" s="160">
        <f t="shared" ca="1" si="61"/>
        <v>79.491406249999997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8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8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3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435200</v>
      </c>
      <c r="N254" s="174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345946.6</v>
      </c>
      <c r="O254" s="175">
        <f ca="1">IF(L254&gt;0,N254*100/L254,0)</f>
        <v>79.491406249999997</v>
      </c>
      <c r="P254" s="175">
        <f ca="1">IF(M254&gt;0,N254*100/M254,0)</f>
        <v>79.491406249999997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5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3</v>
      </c>
      <c r="K264" s="167">
        <f ca="1">IF(I264&gt;0,J264*100/I264,0)</f>
        <v>75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5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7">
        <f ca="1">IF(I265&gt;0,J265*100/I265,0)</f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5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65</v>
      </c>
      <c r="K266" s="167">
        <f ca="1">IF(I266&gt;0,J266*100/I266,0)</f>
        <v>76.470588235294116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5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4</v>
      </c>
      <c r="K267" s="167">
        <f ca="1">IF(I267&gt;0,J267*100/I267,0)</f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1192800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839561.86</v>
      </c>
      <c r="O271" s="155">
        <f t="shared" ref="O271:O273" ca="1" si="62">IF(L271&gt;0,N271*100/L271,0)</f>
        <v>70.385803152246808</v>
      </c>
      <c r="P271" s="155">
        <f t="shared" ref="P271:P273" ca="1" si="63">IF(M271&gt;0,N271*100/M271,0)</f>
        <v>70.385803152246808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2"/>
        <v>0</v>
      </c>
      <c r="P272" s="160">
        <f t="shared" si="63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1192800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839561.86</v>
      </c>
      <c r="O273" s="160">
        <f t="shared" ca="1" si="62"/>
        <v>70.385803152246808</v>
      </c>
      <c r="P273" s="160">
        <f t="shared" ca="1" si="63"/>
        <v>70.385803152246808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8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8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3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1192800</v>
      </c>
      <c r="N275" s="174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839561.86</v>
      </c>
      <c r="O275" s="175">
        <f ca="1">IF(L275&gt;0,N275*100/L275,0)</f>
        <v>70.385803152246808</v>
      </c>
      <c r="P275" s="175">
        <f ca="1">IF(M275&gt;0,N275*100/M275,0)</f>
        <v>70.385803152246808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5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927180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927180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820592</v>
      </c>
      <c r="O290" s="155">
        <f t="shared" ref="O290:O292" ca="1" si="64">IF(L290&gt;0,N290*100/L290,0)</f>
        <v>88.504066092883804</v>
      </c>
      <c r="P290" s="155">
        <f t="shared" ref="P290:P292" ca="1" si="65">IF(M290&gt;0,N290*100/M290,0)</f>
        <v>88.504066092883804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4"/>
        <v>0</v>
      </c>
      <c r="P291" s="160">
        <f t="shared" si="65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927180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927180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820592</v>
      </c>
      <c r="O292" s="160">
        <f t="shared" ca="1" si="64"/>
        <v>88.504066092883804</v>
      </c>
      <c r="P292" s="160">
        <f t="shared" ca="1" si="65"/>
        <v>88.504066092883804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8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8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3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445180</v>
      </c>
      <c r="N294" s="174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338592</v>
      </c>
      <c r="O294" s="175">
        <f ca="1">IF(L294&gt;0,N294*100/L294,0)</f>
        <v>76.057325126914961</v>
      </c>
      <c r="P294" s="175">
        <f ca="1">IF(M294&gt;0,N294*100/M294,0)</f>
        <v>76.057325126914961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482000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482000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0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0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60</v>
      </c>
      <c r="K306" s="230">
        <f ca="1">IF(I306&gt;0,J306*100/I306,0)</f>
        <v>48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IFERROR(__xludf.DUMMYFUNCTION("IMPORTRANGE(""https://docs.google.com/spreadsheets/d/1SX6NBoVAgQJ6U1MVXOaj8PK2l7WJ3RER9xtqwdhxkhw/edit?usp=sharing"",""กาญจนบุรี!J212"")"),0)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7227400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2039338.43</v>
      </c>
      <c r="O310" s="155">
        <f t="shared" ref="O310:O312" ca="1" si="66">IF(L310&gt;0,N310*100/L310,0)</f>
        <v>29.46424755107348</v>
      </c>
      <c r="P310" s="155">
        <f t="shared" ref="P310:P312" ca="1" si="67">IF(M310&gt;0,N310*100/M310,0)</f>
        <v>28.216764396601821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6"/>
        <v>0</v>
      </c>
      <c r="P311" s="160">
        <f t="shared" si="67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7227400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2039338.43</v>
      </c>
      <c r="O312" s="160">
        <f t="shared" ca="1" si="66"/>
        <v>29.46424755107348</v>
      </c>
      <c r="P312" s="160">
        <f t="shared" ca="1" si="67"/>
        <v>28.216764396601821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8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8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3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1277400</v>
      </c>
      <c r="N314" s="174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995338.42999999993</v>
      </c>
      <c r="O314" s="175">
        <f ca="1">IF(L314&gt;0,N314*100/L314,0)</f>
        <v>102.4643226271361</v>
      </c>
      <c r="P314" s="175">
        <f ca="1">IF(M314&gt;0,N314*100/M314,0)</f>
        <v>77.919087991232189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5950000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1044000</v>
      </c>
      <c r="O318" s="101">
        <f ca="1">IF(L318&gt;0,N318*100/L318,0)</f>
        <v>17.54621848739496</v>
      </c>
      <c r="P318" s="101">
        <f ca="1">IF(M318&gt;0,N318*100/M318,0)</f>
        <v>17.54621848739496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0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3403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3223</v>
      </c>
      <c r="K328" s="323">
        <f ca="1">IF(I328&gt;0,J328*100/I328,0)</f>
        <v>94.710549515133707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13212030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13854660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10373569.18</v>
      </c>
      <c r="O329" s="155">
        <f t="shared" ref="O329:O331" ca="1" si="68">IF(L329&gt;0,N329*100/L329,0)</f>
        <v>78.516088595015304</v>
      </c>
      <c r="P329" s="155">
        <f t="shared" ref="P329:P331" ca="1" si="69">IF(M329&gt;0,N329*100/M329,0)</f>
        <v>74.874224123868785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8"/>
        <v>0</v>
      </c>
      <c r="P330" s="160">
        <f t="shared" si="6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13212030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13854660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10373569.18</v>
      </c>
      <c r="O331" s="160">
        <f t="shared" ca="1" si="68"/>
        <v>78.516088595015304</v>
      </c>
      <c r="P331" s="160">
        <f t="shared" ca="1" si="69"/>
        <v>74.874224123868785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8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12174460</v>
      </c>
      <c r="M333" s="173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12817090</v>
      </c>
      <c r="N333" s="174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9343999.1799999997</v>
      </c>
      <c r="O333" s="175">
        <f ca="1">IF(L333&gt;0,N333*100/L333,0)</f>
        <v>76.750830673393324</v>
      </c>
      <c r="P333" s="175">
        <f ca="1">IF(M333&gt;0,N333*100/M333,0)</f>
        <v>72.902657155407354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5244760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1037570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1037570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99.228967684108056</v>
      </c>
      <c r="P337" s="101">
        <f ca="1">IF(M337&gt;0,N337*100/M337,0)</f>
        <v>99.228967684108056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4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3121</v>
      </c>
      <c r="K339" s="348">
        <f t="shared" ref="K339:K346" ca="1" si="70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25184</v>
      </c>
      <c r="J340" s="194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26420</v>
      </c>
      <c r="K340" s="348">
        <f t="shared" ca="1" si="70"/>
        <v>104.90787801778907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3403</v>
      </c>
      <c r="J341" s="194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4301</v>
      </c>
      <c r="K341" s="348">
        <f t="shared" ca="1" si="70"/>
        <v>126.3884807522774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4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43838.189999999988</v>
      </c>
      <c r="K342" s="348">
        <f t="shared" ca="1" si="70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3403</v>
      </c>
      <c r="J343" s="194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68</v>
      </c>
      <c r="K343" s="348">
        <f t="shared" ca="1" si="70"/>
        <v>1.9982368498383778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4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374.63</v>
      </c>
      <c r="K344" s="348">
        <f t="shared" ca="1" si="70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3403</v>
      </c>
      <c r="J345" s="194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3223</v>
      </c>
      <c r="K345" s="348">
        <f t="shared" ca="1" si="70"/>
        <v>94.710549515133707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4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35294.429999999906</v>
      </c>
      <c r="K346" s="357">
        <f t="shared" ca="1" si="70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18419894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13144924.139999986</v>
      </c>
      <c r="O347" s="364">
        <f ca="1">+IF(L347&gt;0,N347*100/L347,0)</f>
        <v>71.362648123816484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753</v>
      </c>
      <c r="K349" s="378">
        <f t="shared" ref="K349:K350" ca="1" si="71">IF(I349&gt;0,J349*100/I349,0)</f>
        <v>94.955863808322832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1814132.88</v>
      </c>
      <c r="O349" s="379">
        <f ca="1">+IF(L349&gt;0,N349*100/L349,0)</f>
        <v>82.726438144400419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78">
        <f t="shared" ca="1" si="71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8"/>
      <c r="N351" s="168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2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69"/>
      <c r="N352" s="168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1814132.88</v>
      </c>
      <c r="O352" s="169">
        <f t="shared" ca="1" si="72"/>
        <v>82.726438144400419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5"/>
      <c r="N353" s="175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5">
        <f t="shared" ca="1" si="72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5"/>
      <c r="N354" s="172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1814132.88</v>
      </c>
      <c r="O354" s="175">
        <f t="shared" ca="1" si="72"/>
        <v>82.726438144400419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326980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725870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637013.74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124269.14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7">
        <f t="shared" ref="K367:K373" ca="1" si="73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4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7">
        <f t="shared" ca="1" si="73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0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7">
        <f t="shared" ca="1" si="73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0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227</v>
      </c>
      <c r="K370" s="167">
        <f t="shared" ca="1" si="73"/>
        <v>88.326848249027236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5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7">
        <f t="shared" ca="1" si="73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5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237</v>
      </c>
      <c r="K372" s="167">
        <f t="shared" ca="1" si="73"/>
        <v>92.217898832684824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0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7">
        <f t="shared" ca="1" si="73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4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4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753</v>
      </c>
      <c r="K375" s="167">
        <f t="shared" ref="K375:K377" ca="1" si="74">IF(I375&gt;0,J375*100/I375,0)</f>
        <v>94.955863808322832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5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250</v>
      </c>
      <c r="K376" s="167">
        <f t="shared" ca="1" si="74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0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503</v>
      </c>
      <c r="K377" s="167">
        <f t="shared" ca="1" si="74"/>
        <v>92.633517495395949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4650</v>
      </c>
      <c r="K380" s="378">
        <f t="shared" ref="K380:K381" ca="1" si="75">IF(I380&gt;0,J380*100/I380,0)</f>
        <v>98.936170212765958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3804062.72</v>
      </c>
      <c r="O380" s="379">
        <f ca="1">+IF(L380&gt;0,N380*100/L380,0)</f>
        <v>78.717666485947348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78">
        <f t="shared" ca="1" si="75"/>
        <v>101.06382978723404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8"/>
      <c r="N382" s="168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6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3804062.72</v>
      </c>
      <c r="O383" s="169">
        <f t="shared" ca="1" si="76"/>
        <v>78.717666485947348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5"/>
      <c r="N384" s="175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5">
        <f t="shared" ca="1" si="76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5"/>
      <c r="N385" s="172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3804062.72</v>
      </c>
      <c r="O385" s="175">
        <f t="shared" ca="1" si="76"/>
        <v>78.717666485947348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1067040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2271806.88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194001.5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271214.33999999997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4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7">
        <f t="shared" ref="K396:K398" ca="1" si="77">IF(I396&gt;0,J396*100/I396,0)</f>
        <v>101.06382978723404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4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4650</v>
      </c>
      <c r="K397" s="167">
        <f t="shared" ca="1" si="77"/>
        <v>98.936170212765958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4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544</v>
      </c>
      <c r="K398" s="167">
        <f t="shared" ca="1" si="77"/>
        <v>115.74468085106383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2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1620</v>
      </c>
      <c r="K401" s="378">
        <f t="shared" ref="K401:K402" ca="1" si="78">IF(I401&gt;0,J401*100/I401,0)</f>
        <v>100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1627273.8399999999</v>
      </c>
      <c r="O401" s="379">
        <f ca="1">+IF(L401&gt;0,N401*100/L401,0)</f>
        <v>86.382057638509195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540</v>
      </c>
      <c r="K402" s="378">
        <f t="shared" ca="1" si="78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8"/>
      <c r="N403" s="175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5">
        <f t="shared" ref="O403:O406" ca="1" si="79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5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1627273.8399999999</v>
      </c>
      <c r="O404" s="175">
        <f t="shared" ca="1" si="79"/>
        <v>86.382057638509195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5"/>
      <c r="N405" s="175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5">
        <f t="shared" ca="1" si="79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5"/>
      <c r="N406" s="175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1627273.8399999999</v>
      </c>
      <c r="O406" s="175">
        <f t="shared" ca="1" si="79"/>
        <v>86.382057638509195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1031729.0800000001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315920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279624.76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540</v>
      </c>
      <c r="K416" s="208">
        <f t="shared" ref="K416:K432" ca="1" si="80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135</v>
      </c>
      <c r="K417" s="208">
        <f t="shared" ca="1" si="80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405</v>
      </c>
      <c r="K418" s="208">
        <f t="shared" ca="1" si="80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135</v>
      </c>
      <c r="K419" s="167">
        <f t="shared" ca="1" si="80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135</v>
      </c>
      <c r="K420" s="294">
        <f t="shared" ca="1" si="80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235</v>
      </c>
      <c r="K421" s="208">
        <f t="shared" ca="1" si="80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705</v>
      </c>
      <c r="K422" s="208">
        <f t="shared" ca="1" si="80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235</v>
      </c>
      <c r="K423" s="167">
        <f t="shared" ca="1" si="80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235</v>
      </c>
      <c r="K424" s="167">
        <f t="shared" ca="1" si="80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235</v>
      </c>
      <c r="K425" s="167">
        <f t="shared" ca="1" si="80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170</v>
      </c>
      <c r="K426" s="208">
        <f t="shared" ca="1" si="80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510</v>
      </c>
      <c r="K427" s="208">
        <f t="shared" ca="1" si="80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170</v>
      </c>
      <c r="K428" s="167">
        <f t="shared" ca="1" si="80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170</v>
      </c>
      <c r="K429" s="167">
        <f t="shared" ca="1" si="80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270</v>
      </c>
      <c r="K430" s="208">
        <f t="shared" ca="1" si="80"/>
        <v>72.972972972972968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115</v>
      </c>
      <c r="K431" s="167">
        <f t="shared" ca="1" si="80"/>
        <v>85.18518518518519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155</v>
      </c>
      <c r="K432" s="167">
        <f t="shared" ca="1" si="80"/>
        <v>65.957446808510639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2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7">
        <f ca="1">IF(I435&gt;0,J435*100/I435,0)</f>
        <v>100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2332300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2094344.8099999998</v>
      </c>
      <c r="O435" s="418">
        <f t="shared" ref="O435:O439" ca="1" si="81">+IF(L435&gt;0,N435*100/L435,0)</f>
        <v>89.797402135231309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8"/>
      <c r="N436" s="175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5">
        <f t="shared" ca="1" si="81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2332300</v>
      </c>
      <c r="M437" s="169"/>
      <c r="N437" s="175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2094344.8099999998</v>
      </c>
      <c r="O437" s="175">
        <f t="shared" ca="1" si="81"/>
        <v>89.797402135231309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5"/>
      <c r="N438" s="175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5">
        <f t="shared" ca="1" si="81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1325300</v>
      </c>
      <c r="M439" s="175"/>
      <c r="N439" s="175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1087344.81</v>
      </c>
      <c r="O439" s="175">
        <f t="shared" ca="1" si="81"/>
        <v>82.045182977439069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568369.25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518975.56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13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7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7">
        <f t="shared" ref="K449:K452" ca="1" si="82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5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7">
        <f t="shared" ca="1" si="82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4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7">
        <f t="shared" ca="1" si="82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4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7">
        <f t="shared" ca="1" si="82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3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3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505069.35</v>
      </c>
      <c r="K455" s="378">
        <f ca="1">IF(I455&gt;0,J455*100/I455,0)</f>
        <v>98.171987311312137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4057162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1760835.2599999998</v>
      </c>
      <c r="O455" s="379">
        <f t="shared" ref="O455:O459" ca="1" si="83">+IF(L455&gt;0,N455*100/L455,0)</f>
        <v>43.400664306724742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8"/>
      <c r="N456" s="175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5">
        <f t="shared" ca="1" si="83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4057162</v>
      </c>
      <c r="M457" s="169"/>
      <c r="N457" s="175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1760835.2599999998</v>
      </c>
      <c r="O457" s="175">
        <f t="shared" ca="1" si="83"/>
        <v>43.400664306724742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5"/>
      <c r="N458" s="175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5">
        <f t="shared" ca="1" si="83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4057162</v>
      </c>
      <c r="M459" s="175"/>
      <c r="N459" s="175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1760835.2599999998</v>
      </c>
      <c r="O459" s="175">
        <f t="shared" ca="1" si="83"/>
        <v>43.400664306724742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476129.91000000003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1284705.3500000001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3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505069.35</v>
      </c>
      <c r="K464" s="274">
        <f t="shared" ref="K464:K515" ca="1" si="84">IF(I464&gt;0,J464*100/I464,0)</f>
        <v>98.171987311312137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515168.41000000003</v>
      </c>
      <c r="K465" s="208">
        <f t="shared" ca="1" si="84"/>
        <v>100.13497475091064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08">
        <f t="shared" ca="1" si="84"/>
        <v>99.99806167742436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5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451473.12</v>
      </c>
      <c r="K467" s="167">
        <f t="shared" ca="1" si="84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5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46158</v>
      </c>
      <c r="K468" s="167">
        <f t="shared" ca="1" si="84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5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56001.1</v>
      </c>
      <c r="K469" s="167">
        <f t="shared" ca="1" si="84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5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4673</v>
      </c>
      <c r="K470" s="167">
        <f t="shared" ca="1" si="84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5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7694.1900000000005</v>
      </c>
      <c r="K471" s="167">
        <f t="shared" ca="1" si="84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5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759</v>
      </c>
      <c r="K472" s="167">
        <f t="shared" ca="1" si="84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514482.67000000004</v>
      </c>
      <c r="K473" s="208">
        <f t="shared" ca="1" si="84"/>
        <v>100.00168521635692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51590</v>
      </c>
      <c r="K474" s="208">
        <f t="shared" ca="1" si="84"/>
        <v>99.99806167742436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5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480570.38</v>
      </c>
      <c r="K475" s="167">
        <f t="shared" ca="1" si="84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5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48390</v>
      </c>
      <c r="K476" s="167">
        <f t="shared" ca="1" si="84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5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25766</v>
      </c>
      <c r="K477" s="167">
        <f t="shared" ca="1" si="84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5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2383</v>
      </c>
      <c r="K478" s="167">
        <f t="shared" ca="1" si="84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5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8146.29</v>
      </c>
      <c r="K479" s="167">
        <f t="shared" ca="1" si="84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5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817</v>
      </c>
      <c r="K480" s="167">
        <f t="shared" ca="1" si="84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505069.35</v>
      </c>
      <c r="K481" s="208">
        <f t="shared" ca="1" si="84"/>
        <v>98.171987311312137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50977</v>
      </c>
      <c r="K482" s="208">
        <f t="shared" ca="1" si="84"/>
        <v>98.809869938555181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5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457538.95</v>
      </c>
      <c r="K483" s="167">
        <f t="shared" ca="1" si="84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5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46863</v>
      </c>
      <c r="K484" s="167">
        <f t="shared" ca="1" si="84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5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40778</v>
      </c>
      <c r="K485" s="167">
        <f t="shared" ca="1" si="84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5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3357</v>
      </c>
      <c r="K486" s="167">
        <f t="shared" ca="1" si="84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6095.29</v>
      </c>
      <c r="K487" s="167">
        <f t="shared" ca="1" si="84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666</v>
      </c>
      <c r="K488" s="167">
        <f t="shared" ca="1" si="84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5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5926.29</v>
      </c>
      <c r="K489" s="167">
        <f t="shared" ca="1" si="84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5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648</v>
      </c>
      <c r="K490" s="167">
        <f t="shared" ca="1" si="84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5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169</v>
      </c>
      <c r="K491" s="167">
        <f t="shared" ca="1" si="84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5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18</v>
      </c>
      <c r="K492" s="167">
        <f t="shared" ca="1" si="84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5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655</v>
      </c>
      <c r="K493" s="167">
        <f t="shared" ca="1" si="84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90</v>
      </c>
      <c r="K494" s="294">
        <f t="shared" ca="1" si="84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7">
        <f t="shared" ca="1" si="84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4">
        <f t="shared" ca="1" si="84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2028</v>
      </c>
      <c r="K497" s="450">
        <f t="shared" ca="1" si="84"/>
        <v>21.29581014386223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2028</v>
      </c>
      <c r="K498" s="208">
        <f t="shared" ca="1" si="84"/>
        <v>21.29581014386223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247</v>
      </c>
      <c r="K499" s="208">
        <f t="shared" ca="1" si="84"/>
        <v>26.417112299465241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6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1941</v>
      </c>
      <c r="K500" s="167">
        <f t="shared" ca="1" si="84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6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233</v>
      </c>
      <c r="K501" s="167">
        <f t="shared" ca="1" si="84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5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1846</v>
      </c>
      <c r="K502" s="167">
        <f t="shared" ca="1" si="84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4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220</v>
      </c>
      <c r="K503" s="167">
        <f t="shared" ca="1" si="84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5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46</v>
      </c>
      <c r="K504" s="167">
        <f t="shared" ca="1" si="84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4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7</v>
      </c>
      <c r="K505" s="167">
        <f t="shared" ca="1" si="84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5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49</v>
      </c>
      <c r="K506" s="167">
        <f t="shared" ca="1" si="84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4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6</v>
      </c>
      <c r="K507" s="167">
        <f t="shared" ca="1" si="84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6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87</v>
      </c>
      <c r="K508" s="167">
        <f t="shared" ca="1" si="84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6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14</v>
      </c>
      <c r="K509" s="167">
        <f t="shared" ca="1" si="84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4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71</v>
      </c>
      <c r="K510" s="167">
        <f t="shared" ca="1" si="84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4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12</v>
      </c>
      <c r="K511" s="167">
        <f t="shared" ca="1" si="84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4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16</v>
      </c>
      <c r="K512" s="167">
        <f t="shared" ca="1" si="84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4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2</v>
      </c>
      <c r="K513" s="167">
        <f t="shared" ca="1" si="84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4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7">
        <f t="shared" ca="1" si="84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4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7">
        <f t="shared" ca="1" si="84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3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4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4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552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60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552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261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60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22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4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4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4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4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239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19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293</v>
      </c>
      <c r="K533" s="417">
        <f ca="1">IF(I533&gt;0,J533*100/I533,0)</f>
        <v>100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381394.68</v>
      </c>
      <c r="O533" s="418">
        <f t="shared" ref="O533:O537" ca="1" si="85">+IF(L533&gt;0,N533*100/L533,0)</f>
        <v>81.491107217640277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8"/>
      <c r="N534" s="175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5">
        <f t="shared" ca="1" si="85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69"/>
      <c r="N535" s="175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381394.68</v>
      </c>
      <c r="O535" s="175">
        <f t="shared" ca="1" si="85"/>
        <v>81.491107217640277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5"/>
      <c r="N536" s="175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5">
        <f t="shared" ca="1" si="85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5"/>
      <c r="N537" s="175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381394.68</v>
      </c>
      <c r="O537" s="175">
        <f t="shared" ca="1" si="85"/>
        <v>81.491107217640277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236473.47999999998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144921.20000000001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13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5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293</v>
      </c>
      <c r="K547" s="167">
        <f t="shared" ref="K547:K548" ca="1" si="86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7">
        <f t="shared" ca="1" si="86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7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8"/>
      <c r="N552" s="175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5">
        <f t="shared" ca="1" si="87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5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5">
        <f t="shared" ca="1" si="87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5"/>
      <c r="N554" s="175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5">
        <f t="shared" ca="1" si="87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5"/>
      <c r="N555" s="175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5">
        <f t="shared" ca="1" si="87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6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0">
        <f t="shared" ref="K560:K561" ca="1" si="88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0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0">
        <f t="shared" ca="1" si="88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34211</v>
      </c>
      <c r="K564" s="378">
        <f ca="1">IF(I564&gt;0,J564*100/I564,0)</f>
        <v>280.41803278688525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1272744.1099999999</v>
      </c>
      <c r="O564" s="379">
        <f t="shared" ref="O564:O568" ca="1" si="89">+IF(L564&gt;0,N564*100/L564,0)</f>
        <v>70.748883243651875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8"/>
      <c r="N565" s="175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5">
        <f t="shared" ca="1" si="89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5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1272744.1099999999</v>
      </c>
      <c r="O566" s="175">
        <f t="shared" ca="1" si="89"/>
        <v>70.748883243651875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5"/>
      <c r="N567" s="175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5">
        <f t="shared" ca="1" si="89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5"/>
      <c r="N568" s="175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1272744.1099999999</v>
      </c>
      <c r="O568" s="175">
        <f t="shared" ca="1" si="89"/>
        <v>70.748883243651875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1015589.51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257154.6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34211</v>
      </c>
      <c r="K573" s="208">
        <f ca="1">IF(I573&gt;0,J573*100/I573,0)</f>
        <v>280.41803278688525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4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70</v>
      </c>
      <c r="K575" s="167">
        <f t="shared" ref="K575:K579" ca="1" si="90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4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2327</v>
      </c>
      <c r="K576" s="167">
        <f t="shared" ca="1" si="90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5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31724</v>
      </c>
      <c r="K577" s="167">
        <f t="shared" ca="1" si="90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4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2</v>
      </c>
      <c r="K578" s="167">
        <f t="shared" ca="1" si="90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4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158</v>
      </c>
      <c r="K579" s="167">
        <f t="shared" ca="1" si="90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294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82</v>
      </c>
      <c r="K580" s="378">
        <f ca="1">IF(I580&gt;0,J580*100/I580,0)</f>
        <v>27.891156462585034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730592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301101</v>
      </c>
      <c r="O580" s="379">
        <f t="shared" ref="O580:O584" ca="1" si="91">+IF(L580&gt;0,N580*100/L580,0)</f>
        <v>41.2132900442381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8"/>
      <c r="N581" s="175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5">
        <f t="shared" ca="1" si="91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730592</v>
      </c>
      <c r="M582" s="169"/>
      <c r="N582" s="175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301101</v>
      </c>
      <c r="O582" s="175">
        <f t="shared" ca="1" si="91"/>
        <v>41.2132900442381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5"/>
      <c r="N583" s="175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5">
        <f t="shared" ca="1" si="91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730592</v>
      </c>
      <c r="M584" s="175"/>
      <c r="N584" s="175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301101</v>
      </c>
      <c r="O584" s="175">
        <f t="shared" ca="1" si="91"/>
        <v>41.2132900442381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106096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195005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294</v>
      </c>
      <c r="J589" s="194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302</v>
      </c>
      <c r="K589" s="167">
        <f t="shared" ref="K589:K596" ca="1" si="92">IF(I589&gt;0,J589*100/I589,0)</f>
        <v>102.72108843537416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4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81.849999999999994</v>
      </c>
      <c r="K590" s="486">
        <f t="shared" ca="1" si="92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294</v>
      </c>
      <c r="J591" s="194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224</v>
      </c>
      <c r="K591" s="167">
        <f t="shared" ca="1" si="92"/>
        <v>76.19047619047619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4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75.44</v>
      </c>
      <c r="K592" s="348">
        <f t="shared" ca="1" si="92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294</v>
      </c>
      <c r="J593" s="194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80</v>
      </c>
      <c r="K593" s="167">
        <f t="shared" ca="1" si="92"/>
        <v>27.210884353741495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4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28.84</v>
      </c>
      <c r="K594" s="348">
        <f t="shared" ca="1" si="92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294</v>
      </c>
      <c r="J595" s="194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82</v>
      </c>
      <c r="K595" s="167">
        <f t="shared" ca="1" si="92"/>
        <v>27.891156462585034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7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29.85</v>
      </c>
      <c r="K596" s="493">
        <f t="shared" ca="1" si="92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94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30</v>
      </c>
      <c r="K597" s="417">
        <f ca="1">IF(I597&gt;0,J597*100/I597,0)</f>
        <v>2.2590361445783134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89034.84</v>
      </c>
      <c r="O597" s="418">
        <f t="shared" ref="O597:O601" ca="1" si="93">+IF(L597&gt;0,N597*100/L597,0)</f>
        <v>72.046318174461888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8"/>
      <c r="N598" s="175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5">
        <f t="shared" ca="1" si="93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69"/>
      <c r="N599" s="175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89034.84</v>
      </c>
      <c r="O599" s="175">
        <f t="shared" ca="1" si="93"/>
        <v>72.046318174461888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5"/>
      <c r="N600" s="175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5">
        <f t="shared" ca="1" si="93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5"/>
      <c r="N601" s="175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89034.84</v>
      </c>
      <c r="O601" s="175">
        <f t="shared" ca="1" si="93"/>
        <v>72.046318174461888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89034.84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13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6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30</v>
      </c>
      <c r="K611" s="167">
        <f t="shared" ref="K611:K619" ca="1" si="94">IF(I$611&gt;0,J611*100/I$611,0)</f>
        <v>2.2590361445783134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4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926.97</v>
      </c>
      <c r="K612" s="167">
        <f t="shared" ca="1" si="94"/>
        <v>69.801957831325296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4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925.55</v>
      </c>
      <c r="K613" s="167">
        <f t="shared" ca="1" si="94"/>
        <v>69.695030120481931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4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941.55</v>
      </c>
      <c r="K614" s="167">
        <f t="shared" ca="1" si="94"/>
        <v>70.899849397590359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4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896.55</v>
      </c>
      <c r="K615" s="167">
        <f t="shared" ca="1" si="94"/>
        <v>67.511295180722897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4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593.55399999999997</v>
      </c>
      <c r="K616" s="167">
        <f t="shared" ca="1" si="94"/>
        <v>44.695331325301197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4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30</v>
      </c>
      <c r="K617" s="167">
        <f t="shared" ca="1" si="94"/>
        <v>2.2590361445783134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5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7">
        <f t="shared" ca="1" si="94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5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30</v>
      </c>
      <c r="K619" s="167">
        <f t="shared" ca="1" si="94"/>
        <v>2.2590361445783134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09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7">
        <f t="shared" ref="K620:K626" ca="1" si="95">IF(I$620&gt;0,J620*100/I$620,0)</f>
        <v>84.804980307458024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09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7">
        <f t="shared" ca="1" si="95"/>
        <v>84.804980307458024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5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7">
        <f t="shared" ca="1" si="95"/>
        <v>39.702706136450388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5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7">
        <f t="shared" ca="1" si="95"/>
        <v>45.102274171007636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4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7">
        <f t="shared" ca="1" si="95"/>
        <v>84.804980307458024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5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7">
        <f t="shared" ca="1" si="95"/>
        <v>78.770168974717564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5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7">
        <f t="shared" ca="1" si="95"/>
        <v>78.770168974717564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18501340.119999997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13918608.460000001</v>
      </c>
      <c r="K628" s="348">
        <f t="shared" ref="K628:K635" ca="1" si="96">IF(I628&gt;0,J628*100/I628,0)</f>
        <v>75.230271805845831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1437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1090</v>
      </c>
      <c r="K629" s="348">
        <f t="shared" ca="1" si="96"/>
        <v>75.852470424495479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5571655.5499999989</v>
      </c>
      <c r="K630" s="348">
        <f t="shared" ca="1" si="96"/>
        <v>25.686031631214735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651</v>
      </c>
      <c r="K631" s="348">
        <f t="shared" ca="1" si="96"/>
        <v>74.145785876993173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233563.12999999998</v>
      </c>
      <c r="K632" s="348">
        <f t="shared" ca="1" si="96"/>
        <v>118.56020519838619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285</v>
      </c>
      <c r="K633" s="348">
        <f t="shared" ca="1" si="96"/>
        <v>69.34306569343066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18184000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17094000</v>
      </c>
      <c r="K634" s="348">
        <f t="shared" ca="1" si="96"/>
        <v>94.005719313682363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470</v>
      </c>
      <c r="J635" s="518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423</v>
      </c>
      <c r="K635" s="493">
        <f t="shared" ca="1" si="96"/>
        <v>90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13645</v>
      </c>
      <c r="M636" s="524"/>
      <c r="N636" s="523">
        <f ca="1">SUM(N637:N638)</f>
        <v>9350</v>
      </c>
      <c r="O636" s="523">
        <f t="shared" ref="O636:O640" ca="1" si="97">+IF(L636&gt;0,N636*100/L636,0)</f>
        <v>68.523268596555511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97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13645</v>
      </c>
      <c r="M638" s="534"/>
      <c r="N638" s="535">
        <f ca="1">SUM(N639:N640)</f>
        <v>9350</v>
      </c>
      <c r="O638" s="535">
        <f t="shared" ca="1" si="97"/>
        <v>68.523268596555511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97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13645</v>
      </c>
      <c r="M640" s="534"/>
      <c r="N640" s="535">
        <f ca="1">SUM(N641:N644)</f>
        <v>9350</v>
      </c>
      <c r="O640" s="535">
        <f t="shared" ca="1" si="97"/>
        <v>68.523268596555511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9350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กระบี่!J646+ชุมพร!J646+ตรัง!J646+นครศรีธรรมราช!J646+นราธิวาส!J646+ปัตตานี!J646+พังงา!J646+พัทลุง!J646+ภูเก็ต!J646+ยะลา!J646+ระนอง!J646+สงขลา!J646+สตูล!J646+สุราษฎร์ธานี!J646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กระบี่!J647+ชุมพร!J647+ตรัง!J647+นครศรีธรรมราช!J647+นราธิวาส!J647+ปัตตานี!J647+พังงา!J647+พัทลุง!J647+ภูเก็ต!J647+ยะลา!J647+ระนอง!J647+สงขลา!J647+สตูล!J647+สุราษฎร์ธานี!J647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กระบี่!I648+ชุมพร!I648+ตรัง!I648+นครศรีธรรมราช!I648+นราธิวาส!I648+ปัตตานี!I648+พังงา!I648+พัทลุง!I648+ภูเก็ต!I648+ยะลา!I648+ระนอง!I648+สงขลา!I648+สตูล!I648+สุราษฎร์ธานี!I648</f>
        <v>63</v>
      </c>
      <c r="J648" s="547">
        <f ca="1">กระบี่!J648+ชุมพร!J648+ตรัง!J648+นครศรีธรรมราช!J648+นราธิวาส!J648+ปัตตานี!J648+พังงา!J648+พัทลุง!J648+ภูเก็ต!J648+ยะลา!J648+ระนอง!J648+สงขลา!J648+สตูล!J648+สุราษฎร์ธานี!J648</f>
        <v>11</v>
      </c>
      <c r="K648" s="548">
        <f t="shared" ref="K648:K651" ca="1" si="98">IF(I648&gt;0,J648*100/I648,0)</f>
        <v>17.460317460317459</v>
      </c>
      <c r="L648" s="535">
        <f ca="1">กระบี่!L648+ชุมพร!L648+ตรัง!L648+นครศรีธรรมราช!L648+นราธิวาส!L648+ปัตตานี!L648+พังงา!L648+พัทลุง!L648+ภูเก็ต!L648+ยะลา!L648+ระนอง!L648+สงขลา!L648+สตูล!L648+สุราษฎร์ธานี!L648</f>
        <v>7875</v>
      </c>
      <c r="M648" s="534"/>
      <c r="N648" s="549">
        <f ca="1">กระบี่!N648+ชุมพร!N648+ตรัง!N648+นครศรีธรรมราช!N648+นราธิวาส!N648+ปัตตานี!N648+พังงา!N648+พัทลุง!N648+ภูเก็ต!N648+ยะลา!N648+ระนอง!N648+สงขลา!N648+สตูล!N648+สุราษฎร์ธานี!N648</f>
        <v>5640</v>
      </c>
      <c r="O648" s="548">
        <f t="shared" ref="O648:O651" ca="1" si="99">IF(L648&gt;0,N648*100/L648,0)</f>
        <v>71.61904761904762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กระบี่!I649+ชุมพร!I649+ตรัง!I649+นครศรีธรรมราช!I649+นราธิวาส!I649+ปัตตานี!I649+พังงา!I649+พัทลุง!I649+ภูเก็ต!I649+ยะลา!I649+ระนอง!I649+สงขลา!I649+สตูล!I649+สุราษฎร์ธานี!I649</f>
        <v>46</v>
      </c>
      <c r="J649" s="547">
        <f ca="1">กระบี่!J649+ชุมพร!J649+ตรัง!J649+นครศรีธรรมราช!J649+นราธิวาส!J649+ปัตตานี!J649+พังงา!J649+พัทลุง!J649+ภูเก็ต!J649+ยะลา!J649+ระนอง!J649+สงขลา!J649+สตูล!J649+สุราษฎร์ธานี!J649</f>
        <v>0</v>
      </c>
      <c r="K649" s="548">
        <f t="shared" ca="1" si="98"/>
        <v>0</v>
      </c>
      <c r="L649" s="535">
        <f ca="1">กระบี่!L649+ชุมพร!L649+ตรัง!L649+นครศรีธรรมราช!L649+นราธิวาส!L649+ปัตตานี!L649+พังงา!L649+พัทลุง!L649+ภูเก็ต!L649+ยะลา!L649+ระนอง!L649+สงขลา!L649+สตูล!L649+สุราษฎร์ธานี!L649</f>
        <v>5520</v>
      </c>
      <c r="M649" s="534"/>
      <c r="N649" s="549">
        <f ca="1">กระบี่!N649+ชุมพร!N649+ตรัง!N649+นครศรีธรรมราช!N649+นราธิวาส!N649+ปัตตานี!N649+พังงา!N649+พัทลุง!N649+ภูเก็ต!N649+ยะลา!N649+ระนอง!N649+สงขลา!N649+สตูล!N649+สุราษฎร์ธานี!N649</f>
        <v>3710</v>
      </c>
      <c r="O649" s="548">
        <f t="shared" ca="1" si="99"/>
        <v>67.210144927536234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กระบี่!I650+ชุมพร!I650+ตรัง!I650+นครศรีธรรมราช!I650+นราธิวาส!I650+ปัตตานี!I650+พังงา!I650+พัทลุง!I650+ภูเก็ต!I650+ยะลา!I650+ระนอง!I650+สงขลา!I650+สตูล!I650+สุราษฎร์ธานี!I650</f>
        <v>50</v>
      </c>
      <c r="J650" s="547">
        <f ca="1">กระบี่!J650+ชุมพร!J650+ตรัง!J650+นครศรีธรรมราช!J650+นราธิวาส!J650+ปัตตานี!J650+พังงา!J650+พัทลุง!J650+ภูเก็ต!J650+ยะลา!J650+ระนอง!J650+สงขลา!J650+สตูล!J650+สุราษฎร์ธานี!J650</f>
        <v>0</v>
      </c>
      <c r="K650" s="548">
        <f t="shared" ca="1" si="98"/>
        <v>0</v>
      </c>
      <c r="L650" s="535">
        <f ca="1">กระบี่!L650+ชุมพร!L650+ตรัง!L650+นครศรีธรรมราช!L650+นราธิวาส!L650+ปัตตานี!L650+พังงา!L650+พัทลุง!L650+ภูเก็ต!L650+ยะลา!L650+ระนอง!L650+สงขลา!L650+สตูล!L650+สุราษฎร์ธานี!L650</f>
        <v>250</v>
      </c>
      <c r="M650" s="534"/>
      <c r="N650" s="549">
        <f ca="1">กระบี่!N650+ชุมพร!N650+ตรัง!N650+นครศรีธรรมราช!N650+นราธิวาส!N650+ปัตตานี!N650+พังงา!N650+พัทลุง!N650+ภูเก็ต!N650+ยะลา!N650+ระนอง!N650+สงขลา!N650+สตูล!N650+สุราษฎร์ธานี!N650</f>
        <v>0</v>
      </c>
      <c r="O650" s="548">
        <f t="shared" ca="1" si="99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กระบี่!I651+ชุมพร!I651+ตรัง!I651+นครศรีธรรมราช!I651+นราธิวาส!I651+ปัตตานี!I651+พังงา!I651+พัทลุง!I651+ภูเก็ต!I651+ยะลา!I651+ระนอง!I651+สงขลา!I651+สตูล!I651+สุราษฎร์ธานี!I651</f>
        <v>0</v>
      </c>
      <c r="J651" s="547">
        <f ca="1">J657+J660</f>
        <v>0</v>
      </c>
      <c r="K651" s="548">
        <f t="shared" ca="1" si="98"/>
        <v>0</v>
      </c>
      <c r="L651" s="535">
        <f ca="1">กระบี่!L651+ชุมพร!L651+ตรัง!L651+นครศรีธรรมราช!L651+นราธิวาส!L651+ปัตตานี!L651+พังงา!L651+พัทลุง!L651+ภูเก็ต!L651+ยะลา!L651+ระนอง!L651+สงขลา!L651+สตูล!L651+สุราษฎร์ธานี!L651</f>
        <v>0</v>
      </c>
      <c r="M651" s="534"/>
      <c r="N651" s="549">
        <f ca="1">กระบี่!N651+ชุมพร!N651+ตรัง!N651+นครศรีธรรมราช!N651+นราธิวาส!N651+ปัตตานี!N651+พังงา!N651+พัทลุง!N651+ภูเก็ต!N651+ยะลา!N651+ระนอง!N651+สงขลา!N651+สตูล!N651+สุราษฎร์ธานี!N651</f>
        <v>0</v>
      </c>
      <c r="O651" s="548">
        <f t="shared" ca="1" si="99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กระบี่!J652+ชุมพร!J652+ตรัง!J652+นครศรีธรรมราช!J652+นราธิวาส!J652+ปัตตานี!J652+พังงา!J652+พัทลุง!J652+ภูเก็ต!J652+ยะลา!J652+ระนอง!J652+สงขลา!J652+สตูล!J652+สุราษฎร์ธานี!J652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กระบี่!J653+ชุมพร!J653+ตรัง!J653+นครศรีธรรมราช!J653+นราธิวาส!J653+ปัตตานี!J653+พังงา!J653+พัทลุง!J653+ภูเก็ต!J653+ยะลา!J653+ระนอง!J653+สงขลา!J653+สตูล!J653+สุราษฎร์ธานี!J653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กระบี่!J655+ชุมพร!J655+ตรัง!J655+นครศรีธรรมราช!J655+นราธิวาส!J655+ปัตตานี!J655+พังงา!J655+พัทลุง!J655+ภูเก็ต!J655+ยะลา!J655+ระนอง!J655+สงขลา!J655+สตูล!J655+สุราษฎร์ธานี!J655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กระบี่!J656+ชุมพร!J656+ตรัง!J656+นครศรีธรรมราช!J656+นราธิวาส!J656+ปัตตานี!J656+พังงา!J656+พัทลุง!J656+ภูเก็ต!J656+ยะลา!J656+ระนอง!J656+สงขลา!J656+สตูล!J656+สุราษฎร์ธานี!J656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กระบี่!J657+ชุมพร!J657+ตรัง!J657+นครศรีธรรมราช!J657+นราธิวาส!J657+ปัตตานี!J657+พังงา!J657+พัทลุง!J657+ภูเก็ต!J657+ยะลา!J657+ระนอง!J657+สงขลา!J657+สตูล!J657+สุราษฎร์ธานี!J657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กระบี่!J658+ชุมพร!J658+ตรัง!J658+นครศรีธรรมราช!J658+นราธิวาส!J658+ปัตตานี!J658+พังงา!J658+พัทลุง!J658+ภูเก็ต!J658+ยะลา!J658+ระนอง!J658+สงขลา!J658+สตูล!J658+สุราษฎร์ธานี!J658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กระบี่!J659+ชุมพร!J659+ตรัง!J659+นครศรีธรรมราช!J659+นราธิวาส!J659+ปัตตานี!J659+พังงา!J659+พัทลุง!J659+ภูเก็ต!J659+ยะลา!J659+ระนอง!J659+สงขลา!J659+สตูล!J659+สุราษฎร์ธานี!J659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กระบี่!J660+ชุมพร!J660+ตรัง!J660+นครศรีธรรมราช!J660+นราธิวาส!J660+ปัตตานี!J660+พังงา!J660+พัทลุง!J660+ภูเก็ต!J660+ยะลา!J660+ระนอง!J660+สงขลา!J660+สตูล!J660+สุราษฎร์ธานี!J660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กระบี่!J661+ชุมพร!J661+ตรัง!J661+นครศรีธรรมราช!J661+นราธิวาส!J661+ปัตตานี!J661+พังงา!J661+พัทลุง!J661+ภูเก็ต!J661+ยะลา!J661+ระนอง!J661+สงขลา!J661+สตูล!J661+สุราษฎร์ธานี!J661</f>
        <v>0</v>
      </c>
      <c r="K661" s="548"/>
      <c r="L661" s="535">
        <f ca="1">กระบี่!L661+ชุมพร!L661+ตรัง!L661+นครศรีธรรมราช!L661+นราธิวาส!L661+ปัตตานี!L661+พังงา!L661+พัทลุง!L661+ภูเก็ต!L661+ยะลา!L661+ระนอง!L661+สงขลา!L661+สตูล!L661+สุราษฎร์ธานี!L661</f>
        <v>0</v>
      </c>
      <c r="M661" s="534"/>
      <c r="N661" s="549">
        <f ca="1">กระบี่!N661+ชุมพร!N661+ตรัง!N661+นครศรีธรรมราช!N661+นราธิวาส!N661+ปัตตานี!N661+พังงา!N661+พัทลุง!N661+ภูเก็ต!N661+ยะลา!N661+ระนอง!N661+สงขลา!N661+สตูล!N661+สุราษฎร์ธานี!N661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กระบี่!J662+ชุมพร!J662+ตรัง!J662+นครศรีธรรมราช!J662+นราธิวาส!J662+ปัตตานี!J662+พังงา!J662+พัทลุง!J662+ภูเก็ต!J662+ยะลา!J662+ระนอง!J662+สงขลา!J662+สตูล!J662+สุราษฎร์ธานี!J662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กระบี่!I663+ชุมพร!I663+ตรัง!I663+นครศรีธรรมราช!I663+นราธิวาส!I663+ปัตตานี!I663+พังงา!I663+พัทลุง!I663+ภูเก็ต!I663+ยะลา!I663+ระนอง!I663+สงขลา!I663+สตูล!I663+สุราษฎร์ธานี!I663</f>
        <v>0</v>
      </c>
      <c r="J663" s="547">
        <f ca="1">กระบี่!J663+ชุมพร!J663+ตรัง!J663+นครศรีธรรมราช!J663+นราธิวาส!J663+ปัตตานี!J663+พังงา!J663+พัทลุง!J663+ภูเก็ต!J663+ยะลา!J663+ระนอง!J663+สงขลา!J663+สตูล!J663+สุราษฎร์ธานี!J663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กระบี่!I665+ชุมพร!I665+ตรัง!I665+นครศรีธรรมราช!I665+นราธิวาส!I665+ปัตตานี!I665+พังงา!I665+พัทลุง!I665+ภูเก็ต!I665+ยะลา!I665+ระนอง!I665+สงขลา!I665+สตูล!I665+สุราษฎร์ธานี!I665</f>
        <v>0</v>
      </c>
      <c r="J665" s="547">
        <f ca="1">กระบี่!J665+ชุมพร!J665+ตรัง!J665+นครศรีธรรมราช!J665+นราธิวาส!J665+ปัตตานี!J665+พังงา!J665+พัทลุง!J665+ภูเก็ต!J665+ยะลา!J665+ระนอง!J665+สงขลา!J665+สตูล!J665+สุราษฎร์ธานี!J665</f>
        <v>0</v>
      </c>
      <c r="K665" s="548">
        <f ca="1">IF(I665&gt;0,J665*100/I665,0)</f>
        <v>0</v>
      </c>
      <c r="L665" s="535">
        <f ca="1">กระบี่!L665+ชุมพร!L665+ตรัง!L665+นครศรีธรรมราช!L665+นราธิวาส!L665+ปัตตานี!L665+พังงา!L665+พัทลุง!L665+ภูเก็ต!L665+ยะลา!L665+ระนอง!L665+สงขลา!L665+สตูล!L665+สุราษฎร์ธานี!L665</f>
        <v>0</v>
      </c>
      <c r="M665" s="534"/>
      <c r="N665" s="549">
        <f ca="1">กระบี่!N665+ชุมพร!N665+ตรัง!N665+นครศรีธรรมราช!N665+นราธิวาส!N665+ปัตตานี!N665+พังงา!N665+พัทลุง!N665+ภูเก็ต!N665+ยะลา!N665+ระนอง!N665+สงขลา!N665+สตูล!N665+สุราษฎร์ธานี!N665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กระบี่!J666+ชุมพร!J666+ตรัง!J666+นครศรีธรรมราช!J666+นราธิวาส!J666+ปัตตานี!J666+พังงา!J666+พัทลุง!J666+ภูเก็ต!J666+ยะลา!J666+ระนอง!J666+สงขลา!J666+สตูล!J666+สุราษฎร์ธานี!J666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กระบี่!J667+ชุมพร!J667+ตรัง!J667+นครศรีธรรมราช!J667+นราธิวาส!J667+ปัตตานี!J667+พังงา!J667+พัทลุง!J667+ภูเก็ต!J667+ยะลา!J667+ระนอง!J667+สงขลา!J667+สตูล!J667+สุราษฎร์ธานี!J667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กระบี่!I668+ชุมพร!I668+ตรัง!I668+นครศรีธรรมราช!I668+นราธิวาส!I668+ปัตตานี!I668+พังงา!I668+พัทลุง!I668+ภูเก็ต!I668+ยะลา!I668+ระนอง!I668+สงขลา!I668+สตูล!I668+สุราษฎร์ธานี!I668</f>
        <v>0</v>
      </c>
      <c r="J668" s="547">
        <f ca="1">กระบี่!J668+ชุมพร!J668+ตรัง!J668+นครศรีธรรมราช!J668+นราธิวาส!J668+ปัตตานี!J668+พังงา!J668+พัทลุง!J668+ภูเก็ต!J668+ยะลา!J668+ระนอง!J668+สงขลา!J668+สตูล!J668+สุราษฎร์ธานี!J668</f>
        <v>0</v>
      </c>
      <c r="K668" s="548">
        <f ca="1">IF(I668&gt;0,J668*100/I668,0)</f>
        <v>0</v>
      </c>
      <c r="L668" s="535">
        <f ca="1">กระบี่!L668+ชุมพร!L668+ตรัง!L668+นครศรีธรรมราช!L668+นราธิวาส!L668+ปัตตานี!L668+พังงา!L668+พัทลุง!L668+ภูเก็ต!L668+ยะลา!L668+ระนอง!L668+สงขลา!L668+สตูล!L668+สุราษฎร์ธานี!L668</f>
        <v>0</v>
      </c>
      <c r="M668" s="534"/>
      <c r="N668" s="549">
        <f ca="1">กระบี่!N668+ชุมพร!N668+ตรัง!N668+นครศรีธรรมราช!N668+นราธิวาส!N668+ปัตตานี!N668+พังงา!N668+พัทลุง!N668+ภูเก็ต!N668+ยะลา!N668+ระนอง!N668+สงขลา!N668+สตูล!N668+สุราษฎร์ธานี!N668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กระบี่!I671+ชุมพร!I671+ตรัง!I671+นครศรีธรรมราช!I671+นราธิวาส!I671+ปัตตานี!I671+พังงา!I671+พัทลุง!I671+ภูเก็ต!I671+ยะลา!I671+ระนอง!I671+สงขลา!I671+สตูล!I671+สุราษฎร์ธานี!I671</f>
        <v>0</v>
      </c>
      <c r="J671" s="547">
        <f ca="1">J674+J677</f>
        <v>0</v>
      </c>
      <c r="K671" s="548">
        <f ca="1">IF(I671&gt;0,J671*100/I671,0)</f>
        <v>0</v>
      </c>
      <c r="L671" s="535">
        <f ca="1">กระบี่!L671+ชุมพร!L671+ตรัง!L671+นครศรีธรรมราช!L671+นราธิวาส!L671+ปัตตานี!L671+พังงา!L671+พัทลุง!L671+ภูเก็ต!L671+ยะลา!L671+ระนอง!L671+สงขลา!L671+สตูล!L671+สุราษฎร์ธานี!L671</f>
        <v>0</v>
      </c>
      <c r="M671" s="534"/>
      <c r="N671" s="549">
        <f ca="1">กระบี่!N671+ชุมพร!N671+ตรัง!N671+นครศรีธรรมราช!N671+นราธิวาส!N671+ปัตตานี!N671+พังงา!N671+พัทลุง!N671+ภูเก็ต!N671+ยะลา!N671+ระนอง!N671+สงขลา!N671+สตูล!N671+สุราษฎร์ธานี!N671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กระบี่!J672+ชุมพร!J672+ตรัง!J672+นครศรีธรรมราช!J672+นราธิวาส!J672+ปัตตานี!J672+พังงา!J672+พัทลุง!J672+ภูเก็ต!J672+ยะลา!J672+ระนอง!J672+สงขลา!J672+สตูล!J672+สุราษฎร์ธานี!J672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กระบี่!J673+ชุมพร!J673+ตรัง!J673+นครศรีธรรมราช!J673+นราธิวาส!J673+ปัตตานี!J673+พังงา!J673+พัทลุง!J673+ภูเก็ต!J673+ยะลา!J673+ระนอง!J673+สงขลา!J673+สตูล!J673+สุราษฎร์ธานี!J673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กระบี่!J674+ชุมพร!J674+ตรัง!J674+นครศรีธรรมราช!J674+นราธิวาส!J674+ปัตตานี!J674+พังงา!J674+พัทลุง!J674+ภูเก็ต!J674+ยะลา!J674+ระนอง!J674+สงขลา!J674+สตูล!J674+สุราษฎร์ธานี!J674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กระบี่!J675+ชุมพร!J675+ตรัง!J675+นครศรีธรรมราช!J675+นราธิวาส!J675+ปัตตานี!J675+พังงา!J675+พัทลุง!J675+ภูเก็ต!J675+ยะลา!J675+ระนอง!J675+สงขลา!J675+สตูล!J675+สุราษฎร์ธานี!J675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กระบี่!J676+ชุมพร!J676+ตรัง!J676+นครศรีธรรมราช!J676+นราธิวาส!J676+ปัตตานี!J676+พังงา!J676+พัทลุง!J676+ภูเก็ต!J676+ยะลา!J676+ระนอง!J676+สงขลา!J676+สตูล!J676+สุราษฎร์ธานี!J676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กระบี่!J677+ชุมพร!J677+ตรัง!J677+นครศรีธรรมราช!J677+นราธิวาส!J677+ปัตตานี!J677+พังงา!J677+พัทลุง!J677+ภูเก็ต!J677+ยะลา!J677+ระนอง!J677+สงขลา!J677+สตูล!J677+สุราษฎร์ธานี!J677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2205652</v>
      </c>
      <c r="M8" s="23">
        <f t="shared" ca="1" si="0"/>
        <v>1677871</v>
      </c>
      <c r="N8" s="23">
        <f t="shared" ca="1" si="0"/>
        <v>1782530.12</v>
      </c>
      <c r="O8" s="22">
        <f t="shared" ref="O8:O16" ca="1" si="1">IF(L8&gt;0,N8*100/L8,0)</f>
        <v>80.816471501397317</v>
      </c>
      <c r="P8" s="22">
        <f t="shared" ref="P8:P16" ca="1" si="2">IF(M8&gt;0,N8*100/M8,0)</f>
        <v>106.23761421468039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2205652</v>
      </c>
      <c r="M10" s="30">
        <f t="shared" ca="1" si="4"/>
        <v>1677871</v>
      </c>
      <c r="N10" s="30">
        <f t="shared" ca="1" si="4"/>
        <v>1782530.12</v>
      </c>
      <c r="O10" s="29">
        <f t="shared" ca="1" si="1"/>
        <v>80.816471501397317</v>
      </c>
      <c r="P10" s="29">
        <f t="shared" ca="1" si="2"/>
        <v>106.23761421468039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2144952</v>
      </c>
      <c r="M12" s="38">
        <f t="shared" ca="1" si="6"/>
        <v>1617171</v>
      </c>
      <c r="N12" s="38">
        <f t="shared" ca="1" si="6"/>
        <v>1721830.12</v>
      </c>
      <c r="O12" s="38">
        <f t="shared" ca="1" si="1"/>
        <v>80.273596798436515</v>
      </c>
      <c r="P12" s="38">
        <f t="shared" ca="1" si="2"/>
        <v>106.47174108365782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765952</v>
      </c>
      <c r="M14" s="38">
        <f t="shared" si="8"/>
        <v>0</v>
      </c>
      <c r="N14" s="38">
        <f t="shared" ca="1" si="8"/>
        <v>464393.56</v>
      </c>
      <c r="O14" s="41">
        <f t="shared" ca="1" si="1"/>
        <v>60.629590365975936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1682582</v>
      </c>
      <c r="M18" s="23">
        <f t="shared" ca="1" si="11"/>
        <v>1677871</v>
      </c>
      <c r="N18" s="23">
        <f t="shared" ca="1" si="11"/>
        <v>1318136.56</v>
      </c>
      <c r="O18" s="22">
        <f t="shared" ref="O18:O20" ca="1" si="12">IF(L18&gt;0,N18*100/L18,0)</f>
        <v>78.340108238409783</v>
      </c>
      <c r="P18" s="22">
        <f t="shared" ref="P18:P26" ca="1" si="13">IF(M18&gt;0,N18*100/M18,0)</f>
        <v>78.560065702309657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1682582</v>
      </c>
      <c r="M20" s="30">
        <f t="shared" ca="1" si="15"/>
        <v>1677871</v>
      </c>
      <c r="N20" s="30">
        <f t="shared" ca="1" si="15"/>
        <v>1318136.56</v>
      </c>
      <c r="O20" s="29">
        <f t="shared" ca="1" si="12"/>
        <v>78.340108238409783</v>
      </c>
      <c r="P20" s="29">
        <f t="shared" ca="1" si="13"/>
        <v>78.560065702309657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1621882</v>
      </c>
      <c r="M22" s="42">
        <f t="shared" ca="1" si="18"/>
        <v>1617171</v>
      </c>
      <c r="N22" s="41">
        <f t="shared" ca="1" si="18"/>
        <v>1257436.56</v>
      </c>
      <c r="O22" s="41">
        <f t="shared" ca="1" si="17"/>
        <v>77.529472551024057</v>
      </c>
      <c r="P22" s="41">
        <f t="shared" ca="1" si="13"/>
        <v>77.755324576065235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1379000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242882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523070</v>
      </c>
      <c r="M28" s="23">
        <f t="shared" si="23"/>
        <v>0</v>
      </c>
      <c r="N28" s="23">
        <f t="shared" ca="1" si="23"/>
        <v>464393.56</v>
      </c>
      <c r="O28" s="22">
        <f t="shared" ref="O28:O30" ca="1" si="24">IF(L28&gt;0,N28*100/L28,0)</f>
        <v>88.782296824516791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523070</v>
      </c>
      <c r="M30" s="30">
        <f t="shared" si="27"/>
        <v>0</v>
      </c>
      <c r="N30" s="30">
        <f t="shared" ca="1" si="27"/>
        <v>464393.56</v>
      </c>
      <c r="O30" s="29">
        <f t="shared" ca="1" si="24"/>
        <v>88.782296824516791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523070</v>
      </c>
      <c r="M32" s="41">
        <f t="shared" si="30"/>
        <v>0</v>
      </c>
      <c r="N32" s="41">
        <f t="shared" ca="1" si="30"/>
        <v>464393.56</v>
      </c>
      <c r="O32" s="41">
        <f t="shared" ca="1" si="29"/>
        <v>88.782296824516791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523070</v>
      </c>
      <c r="M34" s="41">
        <f t="shared" si="32"/>
        <v>0</v>
      </c>
      <c r="N34" s="41">
        <f t="shared" ca="1" si="32"/>
        <v>464393.56</v>
      </c>
      <c r="O34" s="41">
        <f t="shared" ca="1" si="29"/>
        <v>88.782296824516791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1682582</v>
      </c>
      <c r="M37" s="55">
        <f t="shared" ca="1" si="33"/>
        <v>1677871</v>
      </c>
      <c r="N37" s="55">
        <f t="shared" ca="1" si="33"/>
        <v>1318136.56</v>
      </c>
      <c r="O37" s="56">
        <f t="shared" ca="1" si="29"/>
        <v>78.340108238409783</v>
      </c>
      <c r="P37" s="56">
        <f t="shared" ca="1" si="25"/>
        <v>78.560065702309657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626400</v>
      </c>
      <c r="N41" s="79">
        <f t="shared" ca="1" si="34"/>
        <v>517598.46</v>
      </c>
      <c r="O41" s="78">
        <f t="shared" ref="O41:O43" ca="1" si="35">IF(L41&gt;0,N41*100/L41,0)</f>
        <v>82.630660919540233</v>
      </c>
      <c r="P41" s="78">
        <f t="shared" ref="P41:P43" ca="1" si="36">IF(M41&gt;0,N41*100/M41,0)</f>
        <v>82.630660919540233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626400</v>
      </c>
      <c r="N43" s="79">
        <f t="shared" ca="1" si="38"/>
        <v>517598.46</v>
      </c>
      <c r="O43" s="78">
        <f t="shared" ca="1" si="35"/>
        <v>82.630660919540233</v>
      </c>
      <c r="P43" s="78">
        <f t="shared" ca="1" si="36"/>
        <v>82.630660919540233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IFERROR(__xludf.DUMMYFUNCTION("IMPORTRANGE(""https://docs.google.com/spreadsheets/d/1Yj_ptqi66GCucihVvJfMjLAmec39IyEx_6qawtMGysU/edit?usp=sharing"",""สบก!Q89"")"),603500)</f>
        <v>603500</v>
      </c>
      <c r="N45" s="91">
        <f ca="1">IFERROR(__xludf.DUMMYFUNCTION("IMPORTRANGE(""https://docs.google.com/spreadsheets/d/1Yj_ptqi66GCucihVvJfMjLAmec39IyEx_6qawtMGysU/edit?usp=sharing"",""สบก!R89"")"),494698.46)</f>
        <v>494698.46</v>
      </c>
      <c r="O45" s="92">
        <f ca="1">IF(L45&gt;0,N45*100/L45,0)</f>
        <v>81.9715758077879</v>
      </c>
      <c r="P45" s="92">
        <f ca="1">IF(M45&gt;0,N45*100/M45,0)</f>
        <v>81.9715758077879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280000</v>
      </c>
      <c r="M53" s="125">
        <f t="shared" ca="1" si="39"/>
        <v>224589</v>
      </c>
      <c r="N53" s="125">
        <f t="shared" ca="1" si="39"/>
        <v>170448.87</v>
      </c>
      <c r="O53" s="124">
        <f t="shared" ref="O53:O55" ca="1" si="40">IF(L53&gt;0,N53*100/L53,0)</f>
        <v>60.874596428571429</v>
      </c>
      <c r="P53" s="124">
        <f t="shared" ref="P53:P55" ca="1" si="41">IF(M53&gt;0,N53*100/M53,0)</f>
        <v>75.893685799393552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280000</v>
      </c>
      <c r="M55" s="125">
        <f t="shared" ca="1" si="43"/>
        <v>224589</v>
      </c>
      <c r="N55" s="125">
        <f t="shared" ca="1" si="43"/>
        <v>170448.87</v>
      </c>
      <c r="O55" s="124">
        <f t="shared" ca="1" si="40"/>
        <v>60.874596428571429</v>
      </c>
      <c r="P55" s="124">
        <f t="shared" ca="1" si="41"/>
        <v>75.893685799393552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280000</v>
      </c>
      <c r="M57" s="91">
        <f ca="1">IFERROR(__xludf.DUMMYFUNCTION("IMPORTRANGE(""https://docs.google.com/spreadsheets/d/1Yj_ptqi66GCucihVvJfMjLAmec39IyEx_6qawtMGysU/edit?usp=sharing"",""สบก!Z89"")"),224589)</f>
        <v>224589</v>
      </c>
      <c r="N57" s="91">
        <f ca="1">IFERROR(__xludf.DUMMYFUNCTION("IMPORTRANGE(""https://docs.google.com/spreadsheets/d/1Yj_ptqi66GCucihVvJfMjLAmec39IyEx_6qawtMGysU/edit?usp=sharing"",""สบก!AA89"")"),170448.87)</f>
        <v>170448.87</v>
      </c>
      <c r="O57" s="92">
        <f ca="1">IF(L57&gt;0,N57*100/L57,0)</f>
        <v>60.874596428571429</v>
      </c>
      <c r="P57" s="92">
        <f ca="1">IF(M57&gt;0,N57*100/M57,0)</f>
        <v>75.893685799393552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IFERROR(__xludf.DUMMYFUNCTION("IMPORTRANGE(""https://docs.google.com/spreadsheets/d/1Yj_ptqi66GCucihVvJfMjLAmec39IyEx_6qawtMGysU/edit?usp=sharing"",""สบก!V89"")"),280000)</f>
        <v>280000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IFERROR(__xludf.DUMMYFUNCTION("IMPORTRANGE(""https://docs.google.com/spreadsheets/d/1Yj_ptqi66GCucihVvJfMjLAmec39IyEx_6qawtMGysU/edit?usp=sharing"",""สบก!AI89"")"),0)</f>
        <v>0</v>
      </c>
      <c r="N70" s="174">
        <f ca="1">IFERROR(__xludf.DUMMYFUNCTION("IMPORTRANGE(""https://docs.google.com/spreadsheets/d/1Yj_ptqi66GCucihVvJfMjLAmec39IyEx_6qawtMGysU/edit?usp=sharing"",""สบก!AJ89"")"),0)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IFERROR(__xludf.DUMMYFUNCTION("IMPORTRANGE(""https://docs.google.com/spreadsheets/d/1Yj_ptqi66GCucihVvJfMjLAmec39IyEx_6qawtMGysU/edit?usp=sharing"",""สบก!AE89"")"),0)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IFERROR(__xludf.DUMMYFUNCTION("IMPORTRANGE(""https://docs.google.com/spreadsheets/d/1Yj_ptqi66GCucihVvJfMjLAmec39IyEx_6qawtMGysU/edit?usp=sharing"",""สบก!AF89"")"),0)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IFERROR(__xludf.DUMMYFUNCTION("IMPORTRANGE(""https://docs.google.com/spreadsheets/d/1IYY_tgx_IHuhSq3AJ5eI5OnqOPBNLWSHKh2a30DoXe8/edit?usp=sharing"",""ภูเก็ต!J16"")"),0)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IFERROR(__xludf.DUMMYFUNCTION("IMPORTRANGE(""https://docs.google.com/spreadsheets/d/1IYY_tgx_IHuhSq3AJ5eI5OnqOPBNLWSHKh2a30DoXe8/edit?usp=sharing"",""ภูเก็ต!J17"")"),0)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IFERROR(__xludf.DUMMYFUNCTION("IMPORTRANGE(""https://docs.google.com/spreadsheets/d/1IYY_tgx_IHuhSq3AJ5eI5OnqOPBNLWSHKh2a30DoXe8/edit?usp=sharing"",""ภูเก็ต!J18"")"),0)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IFERROR(__xludf.DUMMYFUNCTION("IMPORTRANGE(""https://docs.google.com/spreadsheets/d/1IYY_tgx_IHuhSq3AJ5eI5OnqOPBNLWSHKh2a30DoXe8/edit?usp=sharing"",""ภูเก็ต!J19"")"),0)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IFERROR(__xludf.DUMMYFUNCTION("IMPORTRANGE(""https://docs.google.com/spreadsheets/d/1IYY_tgx_IHuhSq3AJ5eI5OnqOPBNLWSHKh2a30DoXe8/edit?usp=sharing"",""ภูเก็ต!I20"")"),0)</f>
        <v>0</v>
      </c>
      <c r="J80" s="207">
        <f ca="1">IFERROR(__xludf.DUMMYFUNCTION("IMPORTRANGE(""https://docs.google.com/spreadsheets/d/1IYY_tgx_IHuhSq3AJ5eI5OnqOPBNLWSHKh2a30DoXe8/edit?usp=sharing"",""ภูเก็ต!J20"")"),0)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IFERROR(__xludf.DUMMYFUNCTION("IMPORTRANGE(""https://docs.google.com/spreadsheets/d/1IYY_tgx_IHuhSq3AJ5eI5OnqOPBNLWSHKh2a30DoXe8/edit?usp=sharing"",""ภูเก็ต!I21"")"),0)</f>
        <v>0</v>
      </c>
      <c r="J81" s="207">
        <f ca="1">IFERROR(__xludf.DUMMYFUNCTION("IMPORTRANGE(""https://docs.google.com/spreadsheets/d/1IYY_tgx_IHuhSq3AJ5eI5OnqOPBNLWSHKh2a30DoXe8/edit?usp=sharing"",""ภูเก็ต!J21"")"),0)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IFERROR(__xludf.DUMMYFUNCTION("IMPORTRANGE(""https://docs.google.com/spreadsheets/d/1IYY_tgx_IHuhSq3AJ5eI5OnqOPBNLWSHKh2a30DoXe8/edit?usp=sharing"",""ภูเก็ต!I22"")"),0)</f>
        <v>0</v>
      </c>
      <c r="J82" s="210">
        <f ca="1">IFERROR(__xludf.DUMMYFUNCTION("IMPORTRANGE(""https://docs.google.com/spreadsheets/d/1IYY_tgx_IHuhSq3AJ5eI5OnqOPBNLWSHKh2a30DoXe8/edit?usp=sharing"",""ภูเก็ต!J22"")"),0)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IFERROR(__xludf.DUMMYFUNCTION("IMPORTRANGE(""https://docs.google.com/spreadsheets/d/1IYY_tgx_IHuhSq3AJ5eI5OnqOPBNLWSHKh2a30DoXe8/edit?usp=sharing"",""ภูเก็ต!I23"")"),0)</f>
        <v>0</v>
      </c>
      <c r="J83" s="210">
        <f ca="1">IFERROR(__xludf.DUMMYFUNCTION("IMPORTRANGE(""https://docs.google.com/spreadsheets/d/1IYY_tgx_IHuhSq3AJ5eI5OnqOPBNLWSHKh2a30DoXe8/edit?usp=sharing"",""ภูเก็ต!J23"")"),0)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IFERROR(__xludf.DUMMYFUNCTION("IMPORTRANGE(""https://docs.google.com/spreadsheets/d/1IYY_tgx_IHuhSq3AJ5eI5OnqOPBNLWSHKh2a30DoXe8/edit?usp=sharing"",""ภูเก็ต!I24"")"),0)</f>
        <v>0</v>
      </c>
      <c r="J84" s="195">
        <f ca="1">IFERROR(__xludf.DUMMYFUNCTION("IMPORTRANGE(""https://docs.google.com/spreadsheets/d/1IYY_tgx_IHuhSq3AJ5eI5OnqOPBNLWSHKh2a30DoXe8/edit?usp=sharing"",""ภูเก็ต!J24"")"),0)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IFERROR(__xludf.DUMMYFUNCTION("IMPORTRANGE(""https://docs.google.com/spreadsheets/d/1IYY_tgx_IHuhSq3AJ5eI5OnqOPBNLWSHKh2a30DoXe8/edit?usp=sharing"",""ภูเก็ต!I25"")"),0)</f>
        <v>0</v>
      </c>
      <c r="J85" s="195">
        <f ca="1">IFERROR(__xludf.DUMMYFUNCTION("IMPORTRANGE(""https://docs.google.com/spreadsheets/d/1IYY_tgx_IHuhSq3AJ5eI5OnqOPBNLWSHKh2a30DoXe8/edit?usp=sharing"",""ภูเก็ต!J25"")"),0)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IFERROR(__xludf.DUMMYFUNCTION("IMPORTRANGE(""https://docs.google.com/spreadsheets/d/1IYY_tgx_IHuhSq3AJ5eI5OnqOPBNLWSHKh2a30DoXe8/edit?usp=sharing"",""ภูเก็ต!I26"")"),0)</f>
        <v>0</v>
      </c>
      <c r="J86" s="210">
        <f ca="1">IFERROR(__xludf.DUMMYFUNCTION("IMPORTRANGE(""https://docs.google.com/spreadsheets/d/1IYY_tgx_IHuhSq3AJ5eI5OnqOPBNLWSHKh2a30DoXe8/edit?usp=sharing"",""ภูเก็ต!J26"")"),0)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IFERROR(__xludf.DUMMYFUNCTION("IMPORTRANGE(""https://docs.google.com/spreadsheets/d/1IYY_tgx_IHuhSq3AJ5eI5OnqOPBNLWSHKh2a30DoXe8/edit?usp=sharing"",""ภูเก็ต!I27"")"),0)</f>
        <v>0</v>
      </c>
      <c r="J87" s="210">
        <f ca="1">IFERROR(__xludf.DUMMYFUNCTION("IMPORTRANGE(""https://docs.google.com/spreadsheets/d/1IYY_tgx_IHuhSq3AJ5eI5OnqOPBNLWSHKh2a30DoXe8/edit?usp=sharing"",""ภูเก็ต!J27"")"),0)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IFERROR(__xludf.DUMMYFUNCTION("IMPORTRANGE(""https://docs.google.com/spreadsheets/d/1IYY_tgx_IHuhSq3AJ5eI5OnqOPBNLWSHKh2a30DoXe8/edit?usp=sharing"",""ภูเก็ต!I28"")"),0)</f>
        <v>0</v>
      </c>
      <c r="J88" s="210">
        <f ca="1">IFERROR(__xludf.DUMMYFUNCTION("IMPORTRANGE(""https://docs.google.com/spreadsheets/d/1IYY_tgx_IHuhSq3AJ5eI5OnqOPBNLWSHKh2a30DoXe8/edit?usp=sharing"",""ภูเก็ต!J28"")"),0)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IFERROR(__xludf.DUMMYFUNCTION("IMPORTRANGE(""https://docs.google.com/spreadsheets/d/1IYY_tgx_IHuhSq3AJ5eI5OnqOPBNLWSHKh2a30DoXe8/edit?usp=sharing"",""ภูเก็ต!J29"")"),0)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IFERROR(__xludf.DUMMYFUNCTION("IMPORTRANGE(""https://docs.google.com/spreadsheets/d/1IYY_tgx_IHuhSq3AJ5eI5OnqOPBNLWSHKh2a30DoXe8/edit?usp=sharing"",""ภูเก็ต!J30"")"),0)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25">
      <c r="A97" s="162"/>
      <c r="B97" s="163"/>
      <c r="C97" s="163" t="s">
        <v>16</v>
      </c>
      <c r="D97" s="284" t="s">
        <v>77</v>
      </c>
      <c r="E97" s="171"/>
      <c r="F97" s="171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IFERROR(__xludf.DUMMYFUNCTION("IMPORTRANGE(""https://docs.google.com/spreadsheets/d/1Yj_ptqi66GCucihVvJfMjLAmec39IyEx_6qawtMGysU/edit?usp=sharing"",""สบก!AR89"")"),0)</f>
        <v>0</v>
      </c>
      <c r="N98" s="174">
        <f ca="1">IFERROR(__xludf.DUMMYFUNCTION("IMPORTRANGE(""https://docs.google.com/spreadsheets/d/1Yj_ptqi66GCucihVvJfMjLAmec39IyEx_6qawtMGysU/edit?usp=sharing"",""สบก!AS89"")"),0)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IFERROR(__xludf.DUMMYFUNCTION("IMPORTRANGE(""https://docs.google.com/spreadsheets/d/1Yj_ptqi66GCucihVvJfMjLAmec39IyEx_6qawtMGysU/edit?usp=sharing"",""สบก!AN89"")"),0)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IFERROR(__xludf.DUMMYFUNCTION("IMPORTRANGE(""https://docs.google.com/spreadsheets/d/1Yj_ptqi66GCucihVvJfMjLAmec39IyEx_6qawtMGysU/edit?usp=sharing"",""สบก!AO89"")"),0)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IFERROR(__xludf.DUMMYFUNCTION("IMPORTRANGE(""https://docs.google.com/spreadsheets/d/1IYY_tgx_IHuhSq3AJ5eI5OnqOPBNLWSHKh2a30DoXe8/edit?usp=sharing"",""ภูเก็ต!J39"")"),0)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IFERROR(__xludf.DUMMYFUNCTION("IMPORTRANGE(""https://docs.google.com/spreadsheets/d/1IYY_tgx_IHuhSq3AJ5eI5OnqOPBNLWSHKh2a30DoXe8/edit?usp=sharing"",""ภูเก็ต!J40"")"),0)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IFERROR(__xludf.DUMMYFUNCTION("IMPORTRANGE(""https://docs.google.com/spreadsheets/d/1IYY_tgx_IHuhSq3AJ5eI5OnqOPBNLWSHKh2a30DoXe8/edit?usp=sharing"",""ภูเก็ต!J41"")"),0)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IFERROR(__xludf.DUMMYFUNCTION("IMPORTRANGE(""https://docs.google.com/spreadsheets/d/1IYY_tgx_IHuhSq3AJ5eI5OnqOPBNLWSHKh2a30DoXe8/edit?usp=sharing"",""ภูเก็ต!J42"")"),0)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IFERROR(__xludf.DUMMYFUNCTION("IMPORTRANGE(""https://docs.google.com/spreadsheets/d/1IYY_tgx_IHuhSq3AJ5eI5OnqOPBNLWSHKh2a30DoXe8/edit?usp=sharing"",""ภูเก็ต!I43"")"),0)</f>
        <v>0</v>
      </c>
      <c r="J108" s="210">
        <f ca="1">IFERROR(__xludf.DUMMYFUNCTION("IMPORTRANGE(""https://docs.google.com/spreadsheets/d/1IYY_tgx_IHuhSq3AJ5eI5OnqOPBNLWSHKh2a30DoXe8/edit?usp=sharing"",""ภูเก็ต!J43"")"),0)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IFERROR(__xludf.DUMMYFUNCTION("IMPORTRANGE(""https://docs.google.com/spreadsheets/d/1IYY_tgx_IHuhSq3AJ5eI5OnqOPBNLWSHKh2a30DoXe8/edit?usp=sharing"",""ภูเก็ต!I44"")"),0)</f>
        <v>0</v>
      </c>
      <c r="J109" s="210">
        <f ca="1">IFERROR(__xludf.DUMMYFUNCTION("IMPORTRANGE(""https://docs.google.com/spreadsheets/d/1IYY_tgx_IHuhSq3AJ5eI5OnqOPBNLWSHKh2a30DoXe8/edit?usp=sharing"",""ภูเก็ต!J44"")"),0)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IFERROR(__xludf.DUMMYFUNCTION("IMPORTRANGE(""https://docs.google.com/spreadsheets/d/1IYY_tgx_IHuhSq3AJ5eI5OnqOPBNLWSHKh2a30DoXe8/edit?usp=sharing"",""ภูเก็ต!I45"")"),0)</f>
        <v>0</v>
      </c>
      <c r="J110" s="210">
        <f ca="1">IFERROR(__xludf.DUMMYFUNCTION("IMPORTRANGE(""https://docs.google.com/spreadsheets/d/1IYY_tgx_IHuhSq3AJ5eI5OnqOPBNLWSHKh2a30DoXe8/edit?usp=sharing"",""ภูเก็ต!J45"")"),0)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IFERROR(__xludf.DUMMYFUNCTION("IMPORTRANGE(""https://docs.google.com/spreadsheets/d/1IYY_tgx_IHuhSq3AJ5eI5OnqOPBNLWSHKh2a30DoXe8/edit?usp=sharing"",""ภูเก็ต!I46"")"),0)</f>
        <v>0</v>
      </c>
      <c r="J111" s="210">
        <f ca="1">IFERROR(__xludf.DUMMYFUNCTION("IMPORTRANGE(""https://docs.google.com/spreadsheets/d/1IYY_tgx_IHuhSq3AJ5eI5OnqOPBNLWSHKh2a30DoXe8/edit?usp=sharing"",""ภูเก็ต!J46"")"),0)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IFERROR(__xludf.DUMMYFUNCTION("IMPORTRANGE(""https://docs.google.com/spreadsheets/d/1IYY_tgx_IHuhSq3AJ5eI5OnqOPBNLWSHKh2a30DoXe8/edit?usp=sharing"",""ภูเก็ต!I47"")"),0)</f>
        <v>0</v>
      </c>
      <c r="J112" s="210">
        <f ca="1">IFERROR(__xludf.DUMMYFUNCTION("IMPORTRANGE(""https://docs.google.com/spreadsheets/d/1IYY_tgx_IHuhSq3AJ5eI5OnqOPBNLWSHKh2a30DoXe8/edit?usp=sharing"",""ภูเก็ต!J47"")"),0)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IFERROR(__xludf.DUMMYFUNCTION("IMPORTRANGE(""https://docs.google.com/spreadsheets/d/1IYY_tgx_IHuhSq3AJ5eI5OnqOPBNLWSHKh2a30DoXe8/edit?usp=sharing"",""ภูเก็ต!I48"")"),0)</f>
        <v>0</v>
      </c>
      <c r="J113" s="210">
        <f ca="1">IFERROR(__xludf.DUMMYFUNCTION("IMPORTRANGE(""https://docs.google.com/spreadsheets/d/1IYY_tgx_IHuhSq3AJ5eI5OnqOPBNLWSHKh2a30DoXe8/edit?usp=sharing"",""ภูเก็ต!J48"")"),0)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IFERROR(__xludf.DUMMYFUNCTION("IMPORTRANGE(""https://docs.google.com/spreadsheets/d/1IYY_tgx_IHuhSq3AJ5eI5OnqOPBNLWSHKh2a30DoXe8/edit?usp=sharing"",""ภูเก็ต!J49"")"),0)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IFERROR(__xludf.DUMMYFUNCTION("IMPORTRANGE(""https://docs.google.com/spreadsheets/d/1IYY_tgx_IHuhSq3AJ5eI5OnqOPBNLWSHKh2a30DoXe8/edit?usp=sharing"",""ภูเก็ต!J50"")"),0)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IFERROR(__xludf.DUMMYFUNCTION("IMPORTRANGE(""https://docs.google.com/spreadsheets/d/1Yj_ptqi66GCucihVvJfMjLAmec39IyEx_6qawtMGysU/edit?usp=sharing"",""สบก!BA89"")"),0)</f>
        <v>0</v>
      </c>
      <c r="N122" s="174">
        <f ca="1">IFERROR(__xludf.DUMMYFUNCTION("IMPORTRANGE(""https://docs.google.com/spreadsheets/d/1Yj_ptqi66GCucihVvJfMjLAmec39IyEx_6qawtMGysU/edit?usp=sharing"",""สบก!BB89"")"),0)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IFERROR(__xludf.DUMMYFUNCTION("IMPORTRANGE(""https://docs.google.com/spreadsheets/d/1Yj_ptqi66GCucihVvJfMjLAmec39IyEx_6qawtMGysU/edit?usp=sharing"",""สบก!AW89"")"),0)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IFERROR(__xludf.DUMMYFUNCTION("IMPORTRANGE(""https://docs.google.com/spreadsheets/d/1Yj_ptqi66GCucihVvJfMjLAmec39IyEx_6qawtMGysU/edit?usp=sharing"",""สบก!AX89"")"),0)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IFERROR(__xludf.DUMMYFUNCTION("IMPORTRANGE(""https://docs.google.com/spreadsheets/d/1IYY_tgx_IHuhSq3AJ5eI5OnqOPBNLWSHKh2a30DoXe8/edit?usp=sharing"",""ภูเก็ต!J58"")"),0)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IFERROR(__xludf.DUMMYFUNCTION("IMPORTRANGE(""https://docs.google.com/spreadsheets/d/1IYY_tgx_IHuhSq3AJ5eI5OnqOPBNLWSHKh2a30DoXe8/edit?usp=sharing"",""ภูเก็ต!J59"")"),0)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IFERROR(__xludf.DUMMYFUNCTION("IMPORTRANGE(""https://docs.google.com/spreadsheets/d/1IYY_tgx_IHuhSq3AJ5eI5OnqOPBNLWSHKh2a30DoXe8/edit?usp=sharing"",""ภูเก็ต!J60"")"),0)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IFERROR(__xludf.DUMMYFUNCTION("IMPORTRANGE(""https://docs.google.com/spreadsheets/d/1IYY_tgx_IHuhSq3AJ5eI5OnqOPBNLWSHKh2a30DoXe8/edit?usp=sharing"",""ภูเก็ต!J61"")"),0)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IFERROR(__xludf.DUMMYFUNCTION("IMPORTRANGE(""https://docs.google.com/spreadsheets/d/1IYY_tgx_IHuhSq3AJ5eI5OnqOPBNLWSHKh2a30DoXe8/edit?usp=sharing"",""ภูเก็ต!I62"")"),0)</f>
        <v>0</v>
      </c>
      <c r="J132" s="210">
        <f ca="1">IFERROR(__xludf.DUMMYFUNCTION("IMPORTRANGE(""https://docs.google.com/spreadsheets/d/1IYY_tgx_IHuhSq3AJ5eI5OnqOPBNLWSHKh2a30DoXe8/edit?usp=sharing"",""ภูเก็ต!J62"")"),0)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IFERROR(__xludf.DUMMYFUNCTION("IMPORTRANGE(""https://docs.google.com/spreadsheets/d/1IYY_tgx_IHuhSq3AJ5eI5OnqOPBNLWSHKh2a30DoXe8/edit?usp=sharing"",""ภูเก็ต!I63"")"),0)</f>
        <v>0</v>
      </c>
      <c r="J133" s="210">
        <f ca="1">IFERROR(__xludf.DUMMYFUNCTION("IMPORTRANGE(""https://docs.google.com/spreadsheets/d/1IYY_tgx_IHuhSq3AJ5eI5OnqOPBNLWSHKh2a30DoXe8/edit?usp=sharing"",""ภูเก็ต!J63"")"),0)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IFERROR(__xludf.DUMMYFUNCTION("IMPORTRANGE(""https://docs.google.com/spreadsheets/d/1IYY_tgx_IHuhSq3AJ5eI5OnqOPBNLWSHKh2a30DoXe8/edit?usp=sharing"",""ภูเก็ต!J64"")"),0)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IFERROR(__xludf.DUMMYFUNCTION("IMPORTRANGE(""https://docs.google.com/spreadsheets/d/1IYY_tgx_IHuhSq3AJ5eI5OnqOPBNLWSHKh2a30DoXe8/edit?usp=sharing"",""ภูเก็ต!J65"")"),0)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IFERROR(__xludf.DUMMYFUNCTION("IMPORTRANGE(""https://docs.google.com/spreadsheets/d/1IYY_tgx_IHuhSq3AJ5eI5OnqOPBNLWSHKh2a30DoXe8/edit?usp=sharing"",""ภูเก็ต!I68"")"),0)</f>
        <v>0</v>
      </c>
      <c r="J138" s="273">
        <f ca="1">IFERROR(__xludf.DUMMYFUNCTION("IMPORTRANGE(""https://docs.google.com/spreadsheets/d/1IYY_tgx_IHuhSq3AJ5eI5OnqOPBNLWSHKh2a30DoXe8/edit?usp=sharing"",""ภูเก็ต!J68"")"),0)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27187</v>
      </c>
      <c r="M140" s="156">
        <f t="shared" ca="1" si="64"/>
        <v>27187</v>
      </c>
      <c r="N140" s="156">
        <f t="shared" ca="1" si="64"/>
        <v>27187</v>
      </c>
      <c r="O140" s="155">
        <f t="shared" ref="O140:O142" ca="1" si="65">IF(L140&gt;0,N140*100/L140,0)</f>
        <v>100</v>
      </c>
      <c r="P140" s="155">
        <f t="shared" ref="P140:P142" ca="1" si="66">IF(M140&gt;0,N140*100/M140,0)</f>
        <v>100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27187</v>
      </c>
      <c r="M142" s="161">
        <f t="shared" ca="1" si="68"/>
        <v>27187</v>
      </c>
      <c r="N142" s="161">
        <f t="shared" ca="1" si="68"/>
        <v>27187</v>
      </c>
      <c r="O142" s="160">
        <f t="shared" ca="1" si="65"/>
        <v>100</v>
      </c>
      <c r="P142" s="160">
        <f t="shared" ca="1" si="66"/>
        <v>100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27187</v>
      </c>
      <c r="M144" s="173">
        <f ca="1">IFERROR(__xludf.DUMMYFUNCTION("IMPORTRANGE(""https://docs.google.com/spreadsheets/d/1Yj_ptqi66GCucihVvJfMjLAmec39IyEx_6qawtMGysU/edit?usp=sharing"",""สบก!BJ89"")"),27187)</f>
        <v>27187</v>
      </c>
      <c r="N144" s="174">
        <f ca="1">IFERROR(__xludf.DUMMYFUNCTION("IMPORTRANGE(""https://docs.google.com/spreadsheets/d/1Yj_ptqi66GCucihVvJfMjLAmec39IyEx_6qawtMGysU/edit?usp=sharing"",""สบก!BK89"")"),27187)</f>
        <v>27187</v>
      </c>
      <c r="O144" s="175">
        <f ca="1">IF(L144&gt;0,N144*100/L144,0)</f>
        <v>100</v>
      </c>
      <c r="P144" s="175">
        <f ca="1">IF(M144&gt;0,N144*100/M144,0)</f>
        <v>100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IFERROR(__xludf.DUMMYFUNCTION("IMPORTRANGE(""https://docs.google.com/spreadsheets/d/1Yj_ptqi66GCucihVvJfMjLAmec39IyEx_6qawtMGysU/edit?usp=sharing"",""สบก!BF89"")"),0)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IFERROR(__xludf.DUMMYFUNCTION("IMPORTRANGE(""https://docs.google.com/spreadsheets/d/1Yj_ptqi66GCucihVvJfMjLAmec39IyEx_6qawtMGysU/edit?usp=sharing"",""สบก!BG89"")"),27187)</f>
        <v>27187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IFERROR(__xludf.DUMMYFUNCTION("IMPORTRANGE(""https://docs.google.com/spreadsheets/d/1IYY_tgx_IHuhSq3AJ5eI5OnqOPBNLWSHKh2a30DoXe8/edit?usp=sharing"",""ภูเก็ต!I74"")"),4)</f>
        <v>4</v>
      </c>
      <c r="J149" s="281">
        <f ca="1">IFERROR(__xludf.DUMMYFUNCTION("IMPORTRANGE(""https://docs.google.com/spreadsheets/d/1IYY_tgx_IHuhSq3AJ5eI5OnqOPBNLWSHKh2a30DoXe8/edit?usp=sharing"",""ภูเก็ต!J74"")"),3)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IFERROR(__xludf.DUMMYFUNCTION("IMPORTRANGE(""https://docs.google.com/spreadsheets/d/1IYY_tgx_IHuhSq3AJ5eI5OnqOPBNLWSHKh2a30DoXe8/edit?usp=sharing"",""ภูเก็ต!J79"")"),0)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IFERROR(__xludf.DUMMYFUNCTION("IMPORTRANGE(""https://docs.google.com/spreadsheets/d/1IYY_tgx_IHuhSq3AJ5eI5OnqOPBNLWSHKh2a30DoXe8/edit?usp=sharing"",""ภูเก็ต!J80"")"),1)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IFERROR(__xludf.DUMMYFUNCTION("IMPORTRANGE(""https://docs.google.com/spreadsheets/d/1IYY_tgx_IHuhSq3AJ5eI5OnqOPBNLWSHKh2a30DoXe8/edit?usp=sharing"",""ภูเก็ต!J81"")"),1)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IFERROR(__xludf.DUMMYFUNCTION("IMPORTRANGE(""https://docs.google.com/spreadsheets/d/1IYY_tgx_IHuhSq3AJ5eI5OnqOPBNLWSHKh2a30DoXe8/edit?usp=sharing"",""ภูเก็ต!J82"")"),1)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IFERROR(__xludf.DUMMYFUNCTION("IMPORTRANGE(""https://docs.google.com/spreadsheets/d/1IYY_tgx_IHuhSq3AJ5eI5OnqOPBNLWSHKh2a30DoXe8/edit?usp=sharing"",""ภูเก็ต!I83"")"),4)</f>
        <v>4</v>
      </c>
      <c r="J158" s="195">
        <f ca="1">IFERROR(__xludf.DUMMYFUNCTION("IMPORTRANGE(""https://docs.google.com/spreadsheets/d/1IYY_tgx_IHuhSq3AJ5eI5OnqOPBNLWSHKh2a30DoXe8/edit?usp=sharing"",""ภูเก็ต!J83"")"),3)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IFERROR(__xludf.DUMMYFUNCTION("IMPORTRANGE(""https://docs.google.com/spreadsheets/d/1IYY_tgx_IHuhSq3AJ5eI5OnqOPBNLWSHKh2a30DoXe8/edit?usp=sharing"",""ภูเก็ต!J84"")"),89)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IFERROR(__xludf.DUMMYFUNCTION("IMPORTRANGE(""https://docs.google.com/spreadsheets/d/1IYY_tgx_IHuhSq3AJ5eI5OnqOPBNLWSHKh2a30DoXe8/edit?usp=sharing"",""ภูเก็ต!J85"")"),89)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IFERROR(__xludf.DUMMYFUNCTION("IMPORTRANGE(""https://docs.google.com/spreadsheets/d/1IYY_tgx_IHuhSq3AJ5eI5OnqOPBNLWSHKh2a30DoXe8/edit?usp=sharing"",""ภูเก็ต!J87"")"),0)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IFERROR(__xludf.DUMMYFUNCTION("IMPORTRANGE(""https://docs.google.com/spreadsheets/d/1IYY_tgx_IHuhSq3AJ5eI5OnqOPBNLWSHKh2a30DoXe8/edit?usp=sharing"",""ภูเก็ต!J88"")"),0)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IFERROR(__xludf.DUMMYFUNCTION("IMPORTRANGE(""https://docs.google.com/spreadsheets/d/1IYY_tgx_IHuhSq3AJ5eI5OnqOPBNLWSHKh2a30DoXe8/edit?usp=sharing"",""ภูเก็ต!J94"")"),0)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IFERROR(__xludf.DUMMYFUNCTION("IMPORTRANGE(""https://docs.google.com/spreadsheets/d/1IYY_tgx_IHuhSq3AJ5eI5OnqOPBNLWSHKh2a30DoXe8/edit?usp=sharing"",""ภูเก็ต!J95"")"),1)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IFERROR(__xludf.DUMMYFUNCTION("IMPORTRANGE(""https://docs.google.com/spreadsheets/d/1IYY_tgx_IHuhSq3AJ5eI5OnqOPBNLWSHKh2a30DoXe8/edit?usp=sharing"",""ภูเก็ต!J96"")"),1)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IFERROR(__xludf.DUMMYFUNCTION("IMPORTRANGE(""https://docs.google.com/spreadsheets/d/1IYY_tgx_IHuhSq3AJ5eI5OnqOPBNLWSHKh2a30DoXe8/edit?usp=sharing"",""ภูเก็ต!J97"")"),1)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IFERROR(__xludf.DUMMYFUNCTION("IMPORTRANGE(""https://docs.google.com/spreadsheets/d/1IYY_tgx_IHuhSq3AJ5eI5OnqOPBNLWSHKh2a30DoXe8/edit?usp=sharing"",""ภูเก็ต!I98"")"),1)</f>
        <v>1</v>
      </c>
      <c r="J173" s="195">
        <f ca="1">IFERROR(__xludf.DUMMYFUNCTION("IMPORTRANGE(""https://docs.google.com/spreadsheets/d/1IYY_tgx_IHuhSq3AJ5eI5OnqOPBNLWSHKh2a30DoXe8/edit?usp=sharing"",""ภูเก็ต!J98"")"),1)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IFERROR(__xludf.DUMMYFUNCTION("IMPORTRANGE(""https://docs.google.com/spreadsheets/d/1IYY_tgx_IHuhSq3AJ5eI5OnqOPBNLWSHKh2a30DoXe8/edit?usp=sharing"",""ภูเก็ต!J99"")"),0)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IFERROR(__xludf.DUMMYFUNCTION("IMPORTRANGE(""https://docs.google.com/spreadsheets/d/1IYY_tgx_IHuhSq3AJ5eI5OnqOPBNLWSHKh2a30DoXe8/edit?usp=sharing"",""ภูเก็ต!J100"")"),0)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IFERROR(__xludf.DUMMYFUNCTION("IMPORTRANGE(""https://docs.google.com/spreadsheets/d/1IYY_tgx_IHuhSq3AJ5eI5OnqOPBNLWSHKh2a30DoXe8/edit?usp=sharing"",""ภูเก็ต!J106"")"),0)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IFERROR(__xludf.DUMMYFUNCTION("IMPORTRANGE(""https://docs.google.com/spreadsheets/d/1IYY_tgx_IHuhSq3AJ5eI5OnqOPBNLWSHKh2a30DoXe8/edit?usp=sharing"",""ภูเก็ต!J107"")"),0)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IFERROR(__xludf.DUMMYFUNCTION("IMPORTRANGE(""https://docs.google.com/spreadsheets/d/1IYY_tgx_IHuhSq3AJ5eI5OnqOPBNLWSHKh2a30DoXe8/edit?usp=sharing"",""ภูเก็ต!J108"")"),0)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IFERROR(__xludf.DUMMYFUNCTION("IMPORTRANGE(""https://docs.google.com/spreadsheets/d/1IYY_tgx_IHuhSq3AJ5eI5OnqOPBNLWSHKh2a30DoXe8/edit?usp=sharing"",""ภูเก็ต!J109"")"),0)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IFERROR(__xludf.DUMMYFUNCTION("IMPORTRANGE(""https://docs.google.com/spreadsheets/d/1IYY_tgx_IHuhSq3AJ5eI5OnqOPBNLWSHKh2a30DoXe8/edit?usp=sharing"",""ภูเก็ต!I110"")"),0)</f>
        <v>0</v>
      </c>
      <c r="J185" s="210">
        <f ca="1">IFERROR(__xludf.DUMMYFUNCTION("IMPORTRANGE(""https://docs.google.com/spreadsheets/d/1IYY_tgx_IHuhSq3AJ5eI5OnqOPBNLWSHKh2a30DoXe8/edit?usp=sharing"",""ภูเก็ต!J110"")"),0)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IFERROR(__xludf.DUMMYFUNCTION("IMPORTRANGE(""https://docs.google.com/spreadsheets/d/1IYY_tgx_IHuhSq3AJ5eI5OnqOPBNLWSHKh2a30DoXe8/edit?usp=sharing"",""ภูเก็ต!I111"")"),0)</f>
        <v>0</v>
      </c>
      <c r="J186" s="210">
        <f ca="1">IFERROR(__xludf.DUMMYFUNCTION("IMPORTRANGE(""https://docs.google.com/spreadsheets/d/1IYY_tgx_IHuhSq3AJ5eI5OnqOPBNLWSHKh2a30DoXe8/edit?usp=sharing"",""ภูเก็ต!J111"")"),0)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IFERROR(__xludf.DUMMYFUNCTION("IMPORTRANGE(""https://docs.google.com/spreadsheets/d/1IYY_tgx_IHuhSq3AJ5eI5OnqOPBNLWSHKh2a30DoXe8/edit?usp=sharing"",""ภูเก็ต!J112"")"),0)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IFERROR(__xludf.DUMMYFUNCTION("IMPORTRANGE(""https://docs.google.com/spreadsheets/d/1IYY_tgx_IHuhSq3AJ5eI5OnqOPBNLWSHKh2a30DoXe8/edit?usp=sharing"",""ภูเก็ต!J113"")"),0)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IFERROR(__xludf.DUMMYFUNCTION("IMPORTRANGE(""https://docs.google.com/spreadsheets/d/1IYY_tgx_IHuhSq3AJ5eI5OnqOPBNLWSHKh2a30DoXe8/edit?usp=sharing"",""ภูเก็ต!J119"")"),0)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IFERROR(__xludf.DUMMYFUNCTION("IMPORTRANGE(""https://docs.google.com/spreadsheets/d/1IYY_tgx_IHuhSq3AJ5eI5OnqOPBNLWSHKh2a30DoXe8/edit?usp=sharing"",""ภูเก็ต!J120"")"),0)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IFERROR(__xludf.DUMMYFUNCTION("IMPORTRANGE(""https://docs.google.com/spreadsheets/d/1IYY_tgx_IHuhSq3AJ5eI5OnqOPBNLWSHKh2a30DoXe8/edit?usp=sharing"",""ภูเก็ต!J121"")"),0)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IFERROR(__xludf.DUMMYFUNCTION("IMPORTRANGE(""https://docs.google.com/spreadsheets/d/1IYY_tgx_IHuhSq3AJ5eI5OnqOPBNLWSHKh2a30DoXe8/edit?usp=sharing"",""ภูเก็ต!J122"")"),0)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IFERROR(__xludf.DUMMYFUNCTION("IMPORTRANGE(""https://docs.google.com/spreadsheets/d/1IYY_tgx_IHuhSq3AJ5eI5OnqOPBNLWSHKh2a30DoXe8/edit?usp=sharing"",""ภูเก็ต!I124"")"),0)</f>
        <v>0</v>
      </c>
      <c r="J199" s="195">
        <f ca="1">IFERROR(__xludf.DUMMYFUNCTION("IMPORTRANGE(""https://docs.google.com/spreadsheets/d/1IYY_tgx_IHuhSq3AJ5eI5OnqOPBNLWSHKh2a30DoXe8/edit?usp=sharing"",""ภูเก็ต!J124"")"),0)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IFERROR(__xludf.DUMMYFUNCTION("IMPORTRANGE(""https://docs.google.com/spreadsheets/d/1IYY_tgx_IHuhSq3AJ5eI5OnqOPBNLWSHKh2a30DoXe8/edit?usp=sharing"",""ภูเก็ต!I125"")"),0)</f>
        <v>0</v>
      </c>
      <c r="J200" s="195">
        <f ca="1">IFERROR(__xludf.DUMMYFUNCTION("IMPORTRANGE(""https://docs.google.com/spreadsheets/d/1IYY_tgx_IHuhSq3AJ5eI5OnqOPBNLWSHKh2a30DoXe8/edit?usp=sharing"",""ภูเก็ต!J125"")"),0)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IFERROR(__xludf.DUMMYFUNCTION("IMPORTRANGE(""https://docs.google.com/spreadsheets/d/1IYY_tgx_IHuhSq3AJ5eI5OnqOPBNLWSHKh2a30DoXe8/edit?usp=sharing"",""ภูเก็ต!I126"")"),0)</f>
        <v>0</v>
      </c>
      <c r="J201" s="195">
        <f ca="1">IFERROR(__xludf.DUMMYFUNCTION("IMPORTRANGE(""https://docs.google.com/spreadsheets/d/1IYY_tgx_IHuhSq3AJ5eI5OnqOPBNLWSHKh2a30DoXe8/edit?usp=sharing"",""ภูเก็ต!J126"")"),0)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IFERROR(__xludf.DUMMYFUNCTION("IMPORTRANGE(""https://docs.google.com/spreadsheets/d/1IYY_tgx_IHuhSq3AJ5eI5OnqOPBNLWSHKh2a30DoXe8/edit?usp=sharing"",""ภูเก็ต!J127"")"),0)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IFERROR(__xludf.DUMMYFUNCTION("IMPORTRANGE(""https://docs.google.com/spreadsheets/d/1IYY_tgx_IHuhSq3AJ5eI5OnqOPBNLWSHKh2a30DoXe8/edit?usp=sharing"",""ภูเก็ต!J134"")"),0)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IFERROR(__xludf.DUMMYFUNCTION("IMPORTRANGE(""https://docs.google.com/spreadsheets/d/1IYY_tgx_IHuhSq3AJ5eI5OnqOPBNLWSHKh2a30DoXe8/edit?usp=sharing"",""ภูเก็ต!J135"")"),0)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IFERROR(__xludf.DUMMYFUNCTION("IMPORTRANGE(""https://docs.google.com/spreadsheets/d/1IYY_tgx_IHuhSq3AJ5eI5OnqOPBNLWSHKh2a30DoXe8/edit?usp=sharing"",""ภูเก็ต!J136"")"),0)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IFERROR(__xludf.DUMMYFUNCTION("IMPORTRANGE(""https://docs.google.com/spreadsheets/d/1IYY_tgx_IHuhSq3AJ5eI5OnqOPBNLWSHKh2a30DoXe8/edit?usp=sharing"",""ภูเก็ต!J137"")"),0)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IFERROR(__xludf.DUMMYFUNCTION("IMPORTRANGE(""https://docs.google.com/spreadsheets/d/1IYY_tgx_IHuhSq3AJ5eI5OnqOPBNLWSHKh2a30DoXe8/edit?usp=sharing"",""ภูเก็ต!I138"")"),0)</f>
        <v>0</v>
      </c>
      <c r="J213" s="210">
        <f ca="1">IFERROR(__xludf.DUMMYFUNCTION("IMPORTRANGE(""https://docs.google.com/spreadsheets/d/1IYY_tgx_IHuhSq3AJ5eI5OnqOPBNLWSHKh2a30DoXe8/edit?usp=sharing"",""ภูเก็ต!J138"")"),0)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IFERROR(__xludf.DUMMYFUNCTION("IMPORTRANGE(""https://docs.google.com/spreadsheets/d/1IYY_tgx_IHuhSq3AJ5eI5OnqOPBNLWSHKh2a30DoXe8/edit?usp=sharing"",""ภูเก็ต!I140"")"),0)</f>
        <v>0</v>
      </c>
      <c r="J215" s="210">
        <f ca="1">IFERROR(__xludf.DUMMYFUNCTION("IMPORTRANGE(""https://docs.google.com/spreadsheets/d/1IYY_tgx_IHuhSq3AJ5eI5OnqOPBNLWSHKh2a30DoXe8/edit?usp=sharing"",""ภูเก็ต!J140"")"),0)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IFERROR(__xludf.DUMMYFUNCTION("IMPORTRANGE(""https://docs.google.com/spreadsheets/d/1IYY_tgx_IHuhSq3AJ5eI5OnqOPBNLWSHKh2a30DoXe8/edit?usp=sharing"",""ภูเก็ต!I141"")"),0)</f>
        <v>0</v>
      </c>
      <c r="J216" s="210">
        <f ca="1">IFERROR(__xludf.DUMMYFUNCTION("IMPORTRANGE(""https://docs.google.com/spreadsheets/d/1IYY_tgx_IHuhSq3AJ5eI5OnqOPBNLWSHKh2a30DoXe8/edit?usp=sharing"",""ภูเก็ต!J141"")"),0)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IFERROR(__xludf.DUMMYFUNCTION("IMPORTRANGE(""https://docs.google.com/spreadsheets/d/1IYY_tgx_IHuhSq3AJ5eI5OnqOPBNLWSHKh2a30DoXe8/edit?usp=sharing"",""ภูเก็ต!J142"")"),0)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IFERROR(__xludf.DUMMYFUNCTION("IMPORTRANGE(""https://docs.google.com/spreadsheets/d/1IYY_tgx_IHuhSq3AJ5eI5OnqOPBNLWSHKh2a30DoXe8/edit?usp=sharing"",""ภูเก็ต!J143"")"),0)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IFERROR(__xludf.DUMMYFUNCTION("IMPORTRANGE(""https://docs.google.com/spreadsheets/d/1IYY_tgx_IHuhSq3AJ5eI5OnqOPBNLWSHKh2a30DoXe8/edit?usp=sharing"",""ภูเก็ต!I144"")"),13)</f>
        <v>13</v>
      </c>
      <c r="J219" s="273">
        <f ca="1">IFERROR(__xludf.DUMMYFUNCTION("IMPORTRANGE(""https://docs.google.com/spreadsheets/d/1IYY_tgx_IHuhSq3AJ5eI5OnqOPBNLWSHKh2a30DoXe8/edit?usp=sharing"",""ภูเก็ต!J144"")"),13)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30995</v>
      </c>
      <c r="N220" s="156">
        <f t="shared" ca="1" si="72"/>
        <v>30995</v>
      </c>
      <c r="O220" s="155">
        <f t="shared" ref="O220:O222" ca="1" si="73">IF(L220&gt;0,N220*100/L220,0)</f>
        <v>160.6374708473698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30995</v>
      </c>
      <c r="N222" s="161">
        <f t="shared" ca="1" si="76"/>
        <v>30995</v>
      </c>
      <c r="O222" s="160">
        <f t="shared" ca="1" si="73"/>
        <v>160.6374708473698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IFERROR(__xludf.DUMMYFUNCTION("IMPORTRANGE(""https://docs.google.com/spreadsheets/d/1Yj_ptqi66GCucihVvJfMjLAmec39IyEx_6qawtMGysU/edit?usp=sharing"",""สบก!BS89"")"),30995)</f>
        <v>30995</v>
      </c>
      <c r="N224" s="174">
        <f ca="1">IFERROR(__xludf.DUMMYFUNCTION("IMPORTRANGE(""https://docs.google.com/spreadsheets/d/1Yj_ptqi66GCucihVvJfMjLAmec39IyEx_6qawtMGysU/edit?usp=sharing"",""สบก!BT89"")"),30995)</f>
        <v>30995</v>
      </c>
      <c r="O224" s="175">
        <f ca="1">IF(L224&gt;0,N224*100/L224,0)</f>
        <v>160.6374708473698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IFERROR(__xludf.DUMMYFUNCTION("IMPORTRANGE(""https://docs.google.com/spreadsheets/d/1Yj_ptqi66GCucihVvJfMjLAmec39IyEx_6qawtMGysU/edit?usp=sharing"",""สบก!BO89"")"),0)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IFERROR(__xludf.DUMMYFUNCTION("IMPORTRANGE(""https://docs.google.com/spreadsheets/d/1Yj_ptqi66GCucihVvJfMjLAmec39IyEx_6qawtMGysU/edit?usp=sharing"",""สบก!BP89"")"),19295)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IFERROR(__xludf.DUMMYFUNCTION("IMPORTRANGE(""https://docs.google.com/spreadsheets/d/1IYY_tgx_IHuhSq3AJ5eI5OnqOPBNLWSHKh2a30DoXe8/edit?usp=sharing"",""ภูเก็ต!I149"")"),13)</f>
        <v>13</v>
      </c>
      <c r="J229" s="273">
        <f ca="1">IFERROR(__xludf.DUMMYFUNCTION("IMPORTRANGE(""https://docs.google.com/spreadsheets/d/1IYY_tgx_IHuhSq3AJ5eI5OnqOPBNLWSHKh2a30DoXe8/edit?usp=sharing"",""ภูเก็ต!J149"")"),13)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IFERROR(__xludf.DUMMYFUNCTION("IMPORTRANGE(""https://docs.google.com/spreadsheets/d/1IYY_tgx_IHuhSq3AJ5eI5OnqOPBNLWSHKh2a30DoXe8/edit?usp=sharing"",""ภูเก็ต!J151"")"),0)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IFERROR(__xludf.DUMMYFUNCTION("IMPORTRANGE(""https://docs.google.com/spreadsheets/d/1IYY_tgx_IHuhSq3AJ5eI5OnqOPBNLWSHKh2a30DoXe8/edit?usp=sharing"",""ภูเก็ต!J152"")"),1)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IFERROR(__xludf.DUMMYFUNCTION("IMPORTRANGE(""https://docs.google.com/spreadsheets/d/1IYY_tgx_IHuhSq3AJ5eI5OnqOPBNLWSHKh2a30DoXe8/edit?usp=sharing"",""ภูเก็ต!J153"")"),1)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IFERROR(__xludf.DUMMYFUNCTION("IMPORTRANGE(""https://docs.google.com/spreadsheets/d/1IYY_tgx_IHuhSq3AJ5eI5OnqOPBNLWSHKh2a30DoXe8/edit?usp=sharing"",""ภูเก็ต!J154"")"),1)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IFERROR(__xludf.DUMMYFUNCTION("IMPORTRANGE(""https://docs.google.com/spreadsheets/d/1IYY_tgx_IHuhSq3AJ5eI5OnqOPBNLWSHKh2a30DoXe8/edit?usp=sharing"",""ภูเก็ต!I155"")"),13)</f>
        <v>13</v>
      </c>
      <c r="J235" s="195">
        <f ca="1">IFERROR(__xludf.DUMMYFUNCTION("IMPORTRANGE(""https://docs.google.com/spreadsheets/d/1IYY_tgx_IHuhSq3AJ5eI5OnqOPBNLWSHKh2a30DoXe8/edit?usp=sharing"",""ภูเก็ต!J155"")"),13)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IFERROR(__xludf.DUMMYFUNCTION("IMPORTRANGE(""https://docs.google.com/spreadsheets/d/1IYY_tgx_IHuhSq3AJ5eI5OnqOPBNLWSHKh2a30DoXe8/edit?usp=sharing"",""ภูเก็ต!J156"")"),0)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IFERROR(__xludf.DUMMYFUNCTION("IMPORTRANGE(""https://docs.google.com/spreadsheets/d/1IYY_tgx_IHuhSq3AJ5eI5OnqOPBNLWSHKh2a30DoXe8/edit?usp=sharing"",""ภูเก็ต!J157"")"),0)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IFERROR(__xludf.DUMMYFUNCTION("IMPORTRANGE(""https://docs.google.com/spreadsheets/d/1IYY_tgx_IHuhSq3AJ5eI5OnqOPBNLWSHKh2a30DoXe8/edit?usp=sharing"",""ภูเก็ต!I158"")"),0)</f>
        <v>0</v>
      </c>
      <c r="J238" s="273">
        <f ca="1">IFERROR(__xludf.DUMMYFUNCTION("IMPORTRANGE(""https://docs.google.com/spreadsheets/d/1IYY_tgx_IHuhSq3AJ5eI5OnqOPBNLWSHKh2a30DoXe8/edit?usp=sharing"",""ภูเก็ต!J158"")"),0)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IFERROR(__xludf.DUMMYFUNCTION("IMPORTRANGE(""https://docs.google.com/spreadsheets/d/1IYY_tgx_IHuhSq3AJ5eI5OnqOPBNLWSHKh2a30DoXe8/edit?usp=sharing"",""ภูเก็ต!J159"")"),"")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IFERROR(__xludf.DUMMYFUNCTION("IMPORTRANGE(""https://docs.google.com/spreadsheets/d/1IYY_tgx_IHuhSq3AJ5eI5OnqOPBNLWSHKh2a30DoXe8/edit?usp=sharing"",""ภูเก็ต!J161"")"),0)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IFERROR(__xludf.DUMMYFUNCTION("IMPORTRANGE(""https://docs.google.com/spreadsheets/d/1IYY_tgx_IHuhSq3AJ5eI5OnqOPBNLWSHKh2a30DoXe8/edit?usp=sharing"",""ภูเก็ต!J162"")"),0)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IFERROR(__xludf.DUMMYFUNCTION("IMPORTRANGE(""https://docs.google.com/spreadsheets/d/1IYY_tgx_IHuhSq3AJ5eI5OnqOPBNLWSHKh2a30DoXe8/edit?usp=sharing"",""ภูเก็ต!J163"")"),0)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IFERROR(__xludf.DUMMYFUNCTION("IMPORTRANGE(""https://docs.google.com/spreadsheets/d/1IYY_tgx_IHuhSq3AJ5eI5OnqOPBNLWSHKh2a30DoXe8/edit?usp=sharing"",""ภูเก็ต!I164"")"),0)</f>
        <v>0</v>
      </c>
      <c r="J244" s="194">
        <f ca="1">IFERROR(__xludf.DUMMYFUNCTION("IMPORTRANGE(""https://docs.google.com/spreadsheets/d/1IYY_tgx_IHuhSq3AJ5eI5OnqOPBNLWSHKh2a30DoXe8/edit?usp=sharing"",""ภูเก็ต!J164"")"),0)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IFERROR(__xludf.DUMMYFUNCTION("IMPORTRANGE(""https://docs.google.com/spreadsheets/d/1IYY_tgx_IHuhSq3AJ5eI5OnqOPBNLWSHKh2a30DoXe8/edit?usp=sharing"",""ภูเก็ต!J165"")"),0)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IFERROR(__xludf.DUMMYFUNCTION("IMPORTRANGE(""https://docs.google.com/spreadsheets/d/1Yj_ptqi66GCucihVvJfMjLAmec39IyEx_6qawtMGysU/edit?usp=sharing"",""สบก!CB89"")"),0)</f>
        <v>0</v>
      </c>
      <c r="N254" s="174">
        <f ca="1">IFERROR(__xludf.DUMMYFUNCTION("IMPORTRANGE(""https://docs.google.com/spreadsheets/d/1Yj_ptqi66GCucihVvJfMjLAmec39IyEx_6qawtMGysU/edit?usp=sharing"",""สบก!CC89"")"),0)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IFERROR(__xludf.DUMMYFUNCTION("IMPORTRANGE(""https://docs.google.com/spreadsheets/d/1Yj_ptqi66GCucihVvJfMjLAmec39IyEx_6qawtMGysU/edit?usp=sharing"",""สบก!BX89"")"),0)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IFERROR(__xludf.DUMMYFUNCTION("IMPORTRANGE(""https://docs.google.com/spreadsheets/d/1Yj_ptqi66GCucihVvJfMjLAmec39IyEx_6qawtMGysU/edit?usp=sharing"",""สบก!BY89"")"),0)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IFERROR(__xludf.DUMMYFUNCTION("IMPORTRANGE(""https://docs.google.com/spreadsheets/d/1IYY_tgx_IHuhSq3AJ5eI5OnqOPBNLWSHKh2a30DoXe8/edit?usp=sharing"",""ภูเก็ต!J175"")"),0)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IFERROR(__xludf.DUMMYFUNCTION("IMPORTRANGE(""https://docs.google.com/spreadsheets/d/1IYY_tgx_IHuhSq3AJ5eI5OnqOPBNLWSHKh2a30DoXe8/edit?usp=sharing"",""ภูเก็ต!J176"")"),0)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IFERROR(__xludf.DUMMYFUNCTION("IMPORTRANGE(""https://docs.google.com/spreadsheets/d/1IYY_tgx_IHuhSq3AJ5eI5OnqOPBNLWSHKh2a30DoXe8/edit?usp=sharing"",""ภูเก็ต!J177"")"),0)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IFERROR(__xludf.DUMMYFUNCTION("IMPORTRANGE(""https://docs.google.com/spreadsheets/d/1IYY_tgx_IHuhSq3AJ5eI5OnqOPBNLWSHKh2a30DoXe8/edit?usp=sharing"",""ภูเก็ต!J178"")"),0)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IFERROR(__xludf.DUMMYFUNCTION("IMPORTRANGE(""https://docs.google.com/spreadsheets/d/1IYY_tgx_IHuhSq3AJ5eI5OnqOPBNLWSHKh2a30DoXe8/edit?usp=sharing"",""ภูเก็ต!I179"")"),0)</f>
        <v>0</v>
      </c>
      <c r="J264" s="195">
        <f ca="1">IFERROR(__xludf.DUMMYFUNCTION("IMPORTRANGE(""https://docs.google.com/spreadsheets/d/1IYY_tgx_IHuhSq3AJ5eI5OnqOPBNLWSHKh2a30DoXe8/edit?usp=sharing"",""ภูเก็ต!J179"")"),0)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IFERROR(__xludf.DUMMYFUNCTION("IMPORTRANGE(""https://docs.google.com/spreadsheets/d/1IYY_tgx_IHuhSq3AJ5eI5OnqOPBNLWSHKh2a30DoXe8/edit?usp=sharing"",""ภูเก็ต!I180"")"),0)</f>
        <v>0</v>
      </c>
      <c r="J265" s="195">
        <f ca="1">IFERROR(__xludf.DUMMYFUNCTION("IMPORTRANGE(""https://docs.google.com/spreadsheets/d/1IYY_tgx_IHuhSq3AJ5eI5OnqOPBNLWSHKh2a30DoXe8/edit?usp=sharing"",""ภูเก็ต!J180"")"),0)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IFERROR(__xludf.DUMMYFUNCTION("IMPORTRANGE(""https://docs.google.com/spreadsheets/d/1IYY_tgx_IHuhSq3AJ5eI5OnqOPBNLWSHKh2a30DoXe8/edit?usp=sharing"",""ภูเก็ต!I181"")"),0)</f>
        <v>0</v>
      </c>
      <c r="J266" s="195">
        <f ca="1">IFERROR(__xludf.DUMMYFUNCTION("IMPORTRANGE(""https://docs.google.com/spreadsheets/d/1IYY_tgx_IHuhSq3AJ5eI5OnqOPBNLWSHKh2a30DoXe8/edit?usp=sharing"",""ภูเก็ต!J181"")"),0)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IFERROR(__xludf.DUMMYFUNCTION("IMPORTRANGE(""https://docs.google.com/spreadsheets/d/1IYY_tgx_IHuhSq3AJ5eI5OnqOPBNLWSHKh2a30DoXe8/edit?usp=sharing"",""ภูเก็ต!I182"")"),0)</f>
        <v>0</v>
      </c>
      <c r="J267" s="195">
        <f ca="1">IFERROR(__xludf.DUMMYFUNCTION("IMPORTRANGE(""https://docs.google.com/spreadsheets/d/1IYY_tgx_IHuhSq3AJ5eI5OnqOPBNLWSHKh2a30DoXe8/edit?usp=sharing"",""ภูเก็ต!J182"")"),0)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IFERROR(__xludf.DUMMYFUNCTION("IMPORTRANGE(""https://docs.google.com/spreadsheets/d/1IYY_tgx_IHuhSq3AJ5eI5OnqOPBNLWSHKh2a30DoXe8/edit?usp=sharing"",""ภูเก็ต!J183"")"),0)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IFERROR(__xludf.DUMMYFUNCTION("IMPORTRANGE(""https://docs.google.com/spreadsheets/d/1Yj_ptqi66GCucihVvJfMjLAmec39IyEx_6qawtMGysU/edit?usp=sharing"",""สบก!CK89"")"),0)</f>
        <v>0</v>
      </c>
      <c r="N275" s="174">
        <f ca="1">IFERROR(__xludf.DUMMYFUNCTION("IMPORTRANGE(""https://docs.google.com/spreadsheets/d/1Yj_ptqi66GCucihVvJfMjLAmec39IyEx_6qawtMGysU/edit?usp=sharing"",""สบก!CL89"")"),0)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IFERROR(__xludf.DUMMYFUNCTION("IMPORTRANGE(""https://docs.google.com/spreadsheets/d/1Yj_ptqi66GCucihVvJfMjLAmec39IyEx_6qawtMGysU/edit?usp=sharing"",""สบก!CG89"")"),0)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IFERROR(__xludf.DUMMYFUNCTION("IMPORTRANGE(""https://docs.google.com/spreadsheets/d/1Yj_ptqi66GCucihVvJfMjLAmec39IyEx_6qawtMGysU/edit?usp=sharing"",""สบก!CH89"")"),0)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IFERROR(__xludf.DUMMYFUNCTION("IMPORTRANGE(""https://docs.google.com/spreadsheets/d/1IYY_tgx_IHuhSq3AJ5eI5OnqOPBNLWSHKh2a30DoXe8/edit?usp=sharing"",""ภูเก็ต!J191"")"),0)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IFERROR(__xludf.DUMMYFUNCTION("IMPORTRANGE(""https://docs.google.com/spreadsheets/d/1IYY_tgx_IHuhSq3AJ5eI5OnqOPBNLWSHKh2a30DoXe8/edit?usp=sharing"",""ภูเก็ต!J192"")"),0)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IFERROR(__xludf.DUMMYFUNCTION("IMPORTRANGE(""https://docs.google.com/spreadsheets/d/1IYY_tgx_IHuhSq3AJ5eI5OnqOPBNLWSHKh2a30DoXe8/edit?usp=sharing"",""ภูเก็ต!J193"")"),0)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IFERROR(__xludf.DUMMYFUNCTION("IMPORTRANGE(""https://docs.google.com/spreadsheets/d/1IYY_tgx_IHuhSq3AJ5eI5OnqOPBNLWSHKh2a30DoXe8/edit?usp=sharing"",""ภูเก็ต!J194"")"),0)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IFERROR(__xludf.DUMMYFUNCTION("IMPORTRANGE(""https://docs.google.com/spreadsheets/d/1IYY_tgx_IHuhSq3AJ5eI5OnqOPBNLWSHKh2a30DoXe8/edit?usp=sharing"",""ภูเก็ต!I195"")"),0)</f>
        <v>0</v>
      </c>
      <c r="J285" s="195">
        <f ca="1">IFERROR(__xludf.DUMMYFUNCTION("IMPORTRANGE(""https://docs.google.com/spreadsheets/d/1IYY_tgx_IHuhSq3AJ5eI5OnqOPBNLWSHKh2a30DoXe8/edit?usp=sharing"",""ภูเก็ต!J195"")"),0)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IFERROR(__xludf.DUMMYFUNCTION("IMPORTRANGE(""https://docs.google.com/spreadsheets/d/1IYY_tgx_IHuhSq3AJ5eI5OnqOPBNLWSHKh2a30DoXe8/edit?usp=sharing"",""ภูเก็ต!J196"")"),0)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IFERROR(__xludf.DUMMYFUNCTION("IMPORTRANGE(""https://docs.google.com/spreadsheets/d/1IYY_tgx_IHuhSq3AJ5eI5OnqOPBNLWSHKh2a30DoXe8/edit?usp=sharing"",""ภูเก็ต!J197"")"),0)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IFERROR(__xludf.DUMMYFUNCTION("IMPORTRANGE(""https://docs.google.com/spreadsheets/d/1Yj_ptqi66GCucihVvJfMjLAmec39IyEx_6qawtMGysU/edit?usp=sharing"",""สบก!CT89"")"),0)</f>
        <v>0</v>
      </c>
      <c r="N294" s="174">
        <f ca="1">IFERROR(__xludf.DUMMYFUNCTION("IMPORTRANGE(""https://docs.google.com/spreadsheets/d/1Yj_ptqi66GCucihVvJfMjLAmec39IyEx_6qawtMGysU/edit?usp=sharing"",""สบก!CU89"")"),0)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IFERROR(__xludf.DUMMYFUNCTION("IMPORTRANGE(""https://docs.google.com/spreadsheets/d/1Yj_ptqi66GCucihVvJfMjLAmec39IyEx_6qawtMGysU/edit?usp=sharing"",""สบก!CP89"")"),0)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IFERROR(__xludf.DUMMYFUNCTION("IMPORTRANGE(""https://docs.google.com/spreadsheets/d/1Yj_ptqi66GCucihVvJfMjLAmec39IyEx_6qawtMGysU/edit?usp=sharing"",""สบก!CQ89"")"),0)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IFERROR(__xludf.DUMMYFUNCTION("IMPORTRANGE(""https://docs.google.com/spreadsheets/d/1IYY_tgx_IHuhSq3AJ5eI5OnqOPBNLWSHKh2a30DoXe8/edit?usp=sharing"",""ภูเก็ต!J205"")"),0)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IFERROR(__xludf.DUMMYFUNCTION("IMPORTRANGE(""https://docs.google.com/spreadsheets/d/1IYY_tgx_IHuhSq3AJ5eI5OnqOPBNLWSHKh2a30DoXe8/edit?usp=sharing"",""ภูเก็ต!J206"")"),0)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IFERROR(__xludf.DUMMYFUNCTION("IMPORTRANGE(""https://docs.google.com/spreadsheets/d/1IYY_tgx_IHuhSq3AJ5eI5OnqOPBNLWSHKh2a30DoXe8/edit?usp=sharing"",""ภูเก็ต!J207"")"),0)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IFERROR(__xludf.DUMMYFUNCTION("IMPORTRANGE(""https://docs.google.com/spreadsheets/d/1IYY_tgx_IHuhSq3AJ5eI5OnqOPBNLWSHKh2a30DoXe8/edit?usp=sharing"",""ภูเก็ต!J208"")"),0)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IFERROR(__xludf.DUMMYFUNCTION("IMPORTRANGE(""https://docs.google.com/spreadsheets/d/1IYY_tgx_IHuhSq3AJ5eI5OnqOPBNLWSHKh2a30DoXe8/edit?usp=sharing"",""ภูเก็ต!I209"")"),0)</f>
        <v>0</v>
      </c>
      <c r="J304" s="210">
        <f ca="1">IFERROR(__xludf.DUMMYFUNCTION("IMPORTRANGE(""https://docs.google.com/spreadsheets/d/1IYY_tgx_IHuhSq3AJ5eI5OnqOPBNLWSHKh2a30DoXe8/edit?usp=sharing"",""ภูเก็ต!J209"")"),0)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IFERROR(__xludf.DUMMYFUNCTION("IMPORTRANGE(""https://docs.google.com/spreadsheets/d/1IYY_tgx_IHuhSq3AJ5eI5OnqOPBNLWSHKh2a30DoXe8/edit?usp=sharing"",""ภูเก็ต!I211"")"),0)</f>
        <v>0</v>
      </c>
      <c r="J306" s="210">
        <f ca="1">IFERROR(__xludf.DUMMYFUNCTION("IMPORTRANGE(""https://docs.google.com/spreadsheets/d/1IYY_tgx_IHuhSq3AJ5eI5OnqOPBNLWSHKh2a30DoXe8/edit?usp=sharing"",""ภูเก็ต!J211"")"),0)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IFERROR(__xludf.DUMMYFUNCTION("IMPORTRANGE(""https://docs.google.com/spreadsheets/d/1IYY_tgx_IHuhSq3AJ5eI5OnqOPBNLWSHKh2a30DoXe8/edit?usp=sharing"",""ภูเก็ต!J212"")"),0)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IFERROR(__xludf.DUMMYFUNCTION("IMPORTRANGE(""https://docs.google.com/spreadsheets/d/1Yj_ptqi66GCucihVvJfMjLAmec39IyEx_6qawtMGysU/edit?usp=sharing"",""สบก!DC89"")"),0)</f>
        <v>0</v>
      </c>
      <c r="N314" s="174">
        <f ca="1">IFERROR(__xludf.DUMMYFUNCTION("IMPORTRANGE(""https://docs.google.com/spreadsheets/d/1Yj_ptqi66GCucihVvJfMjLAmec39IyEx_6qawtMGysU/edit?usp=sharing"",""สบก!DD89"")"),0)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IFERROR(__xludf.DUMMYFUNCTION("IMPORTRANGE(""https://docs.google.com/spreadsheets/d/1Yj_ptqi66GCucihVvJfMjLAmec39IyEx_6qawtMGysU/edit?usp=sharing"",""สบก!CY89"")"),0)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IFERROR(__xludf.DUMMYFUNCTION("IMPORTRANGE(""https://docs.google.com/spreadsheets/d/1Yj_ptqi66GCucihVvJfMjLAmec39IyEx_6qawtMGysU/edit?usp=sharing"",""สบก!CZ89"")"),0)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IFERROR(__xludf.DUMMYFUNCTION("IMPORTRANGE(""https://docs.google.com/spreadsheets/d/1IYY_tgx_IHuhSq3AJ5eI5OnqOPBNLWSHKh2a30DoXe8/edit?usp=sharing"",""ภูเก็ต!J220"")"),0)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IFERROR(__xludf.DUMMYFUNCTION("IMPORTRANGE(""https://docs.google.com/spreadsheets/d/1IYY_tgx_IHuhSq3AJ5eI5OnqOPBNLWSHKh2a30DoXe8/edit?usp=sharing"",""ภูเก็ต!J221"")"),0)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IFERROR(__xludf.DUMMYFUNCTION("IMPORTRANGE(""https://docs.google.com/spreadsheets/d/1IYY_tgx_IHuhSq3AJ5eI5OnqOPBNLWSHKh2a30DoXe8/edit?usp=sharing"",""ภูเก็ต!J222"")"),0)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IFERROR(__xludf.DUMMYFUNCTION("IMPORTRANGE(""https://docs.google.com/spreadsheets/d/1IYY_tgx_IHuhSq3AJ5eI5OnqOPBNLWSHKh2a30DoXe8/edit?usp=sharing"",""ภูเก็ต!J223"")"),0)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IFERROR(__xludf.DUMMYFUNCTION("IMPORTRANGE(""https://docs.google.com/spreadsheets/d/1IYY_tgx_IHuhSq3AJ5eI5OnqOPBNLWSHKh2a30DoXe8/edit?usp=sharing"",""ภูเก็ต!I224"")"),0)</f>
        <v>0</v>
      </c>
      <c r="J324" s="210">
        <f ca="1">IFERROR(__xludf.DUMMYFUNCTION("IMPORTRANGE(""https://docs.google.com/spreadsheets/d/1IYY_tgx_IHuhSq3AJ5eI5OnqOPBNLWSHKh2a30DoXe8/edit?usp=sharing"",""ภูเก็ต!J224"")"),0)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IFERROR(__xludf.DUMMYFUNCTION("IMPORTRANGE(""https://docs.google.com/spreadsheets/d/1IYY_tgx_IHuhSq3AJ5eI5OnqOPBNLWSHKh2a30DoXe8/edit?usp=sharing"",""ภูเก็ต!J225"")"),0)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IFERROR(__xludf.DUMMYFUNCTION("IMPORTRANGE(""https://docs.google.com/spreadsheets/d/1IYY_tgx_IHuhSq3AJ5eI5OnqOPBNLWSHKh2a30DoXe8/edit?usp=sharing"",""ภูเก็ต!J226"")"),0)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IFERROR(__xludf.DUMMYFUNCTION("IMPORTRANGE(""https://docs.google.com/spreadsheets/d/1IYY_tgx_IHuhSq3AJ5eI5OnqOPBNLWSHKh2a30DoXe8/edit?usp=sharing"",""ภูเก็ต!I228"")"),20)</f>
        <v>20</v>
      </c>
      <c r="J328" s="345">
        <f ca="1">IFERROR(__xludf.DUMMYFUNCTION("IMPORTRANGE(""https://docs.google.com/spreadsheets/d/1IYY_tgx_IHuhSq3AJ5eI5OnqOPBNLWSHKh2a30DoXe8/edit?usp=sharing"",""ภูเก็ต!J228"")"),19)</f>
        <v>19</v>
      </c>
      <c r="K328" s="323">
        <f ca="1">IF(I328&gt;0,J328*100/I328,0)</f>
        <v>95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729700</v>
      </c>
      <c r="M329" s="156">
        <f t="shared" ca="1" si="98"/>
        <v>768700</v>
      </c>
      <c r="N329" s="156">
        <f t="shared" ca="1" si="98"/>
        <v>571907.23</v>
      </c>
      <c r="O329" s="155">
        <f t="shared" ref="O329:O331" ca="1" si="99">IF(L329&gt;0,N329*100/L329,0)</f>
        <v>78.375665341921334</v>
      </c>
      <c r="P329" s="155">
        <f t="shared" ref="P329:P331" ca="1" si="100">IF(M329&gt;0,N329*100/M329,0)</f>
        <v>74.399275400026013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729700</v>
      </c>
      <c r="M331" s="161">
        <f t="shared" ca="1" si="102"/>
        <v>768700</v>
      </c>
      <c r="N331" s="161">
        <f t="shared" ca="1" si="102"/>
        <v>571907.23</v>
      </c>
      <c r="O331" s="160">
        <f t="shared" ca="1" si="99"/>
        <v>78.375665341921334</v>
      </c>
      <c r="P331" s="160">
        <f t="shared" ca="1" si="100"/>
        <v>74.399275400026013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691900</v>
      </c>
      <c r="M333" s="173">
        <f ca="1">IFERROR(__xludf.DUMMYFUNCTION("IMPORTRANGE(""https://docs.google.com/spreadsheets/d/1Yj_ptqi66GCucihVvJfMjLAmec39IyEx_6qawtMGysU/edit?usp=sharing"",""สบก!DL89"")"),730900)</f>
        <v>730900</v>
      </c>
      <c r="N333" s="174">
        <f ca="1">IFERROR(__xludf.DUMMYFUNCTION("IMPORTRANGE(""https://docs.google.com/spreadsheets/d/1Yj_ptqi66GCucihVvJfMjLAmec39IyEx_6qawtMGysU/edit?usp=sharing"",""สบก!DM89"")"),534107.23)</f>
        <v>534107.23</v>
      </c>
      <c r="O333" s="175">
        <f ca="1">IF(L333&gt;0,N333*100/L333,0)</f>
        <v>77.194280965457438</v>
      </c>
      <c r="P333" s="175">
        <f ca="1">IF(M333&gt;0,N333*100/M333,0)</f>
        <v>73.075281160213436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IFERROR(__xludf.DUMMYFUNCTION("IMPORTRANGE(""https://docs.google.com/spreadsheets/d/1Yj_ptqi66GCucihVvJfMjLAmec39IyEx_6qawtMGysU/edit?usp=sharing"",""สบก!DH89"")"),495500)</f>
        <v>495500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IFERROR(__xludf.DUMMYFUNCTION("IMPORTRANGE(""https://docs.google.com/spreadsheets/d/1Yj_ptqi66GCucihVvJfMjLAmec39IyEx_6qawtMGysU/edit?usp=sharing"",""สบก!DI89"")"),196400)</f>
        <v>196400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IFERROR(__xludf.DUMMYFUNCTION("IMPORTRANGE(""https://docs.google.com/spreadsheets/d/1IYY_tgx_IHuhSq3AJ5eI5OnqOPBNLWSHKh2a30DoXe8/edit?usp=sharing"",""ภูเก็ต!I234"")"),0)</f>
        <v>0</v>
      </c>
      <c r="J339" s="194">
        <f ca="1">IFERROR(__xludf.DUMMYFUNCTION("IMPORTRANGE(""https://docs.google.com/spreadsheets/d/1IYY_tgx_IHuhSq3AJ5eI5OnqOPBNLWSHKh2a30DoXe8/edit?usp=sharing"",""ภูเก็ต!J234"")"),15)</f>
        <v>15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IFERROR(__xludf.DUMMYFUNCTION("IMPORTRANGE(""https://docs.google.com/spreadsheets/d/1IYY_tgx_IHuhSq3AJ5eI5OnqOPBNLWSHKh2a30DoXe8/edit?usp=sharing"",""ภูเก็ต!I235"")"),140)</f>
        <v>140</v>
      </c>
      <c r="J340" s="194">
        <f ca="1">IFERROR(__xludf.DUMMYFUNCTION("IMPORTRANGE(""https://docs.google.com/spreadsheets/d/1IYY_tgx_IHuhSq3AJ5eI5OnqOPBNLWSHKh2a30DoXe8/edit?usp=sharing"",""ภูเก็ต!J235"")"),57.48)</f>
        <v>57.48</v>
      </c>
      <c r="K340" s="348">
        <f t="shared" ca="1" si="103"/>
        <v>41.057142857142857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IFERROR(__xludf.DUMMYFUNCTION("IMPORTRANGE(""https://docs.google.com/spreadsheets/d/1IYY_tgx_IHuhSq3AJ5eI5OnqOPBNLWSHKh2a30DoXe8/edit?usp=sharing"",""ภูเก็ต!I236"")"),20)</f>
        <v>20</v>
      </c>
      <c r="J341" s="194">
        <f ca="1">IFERROR(__xludf.DUMMYFUNCTION("IMPORTRANGE(""https://docs.google.com/spreadsheets/d/1IYY_tgx_IHuhSq3AJ5eI5OnqOPBNLWSHKh2a30DoXe8/edit?usp=sharing"",""ภูเก็ต!J236"")"),19)</f>
        <v>19</v>
      </c>
      <c r="K341" s="348">
        <f t="shared" ca="1" si="103"/>
        <v>95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4">
        <f ca="1">IFERROR(__xludf.DUMMYFUNCTION("IMPORTRANGE(""https://docs.google.com/spreadsheets/d/1IYY_tgx_IHuhSq3AJ5eI5OnqOPBNLWSHKh2a30DoXe8/edit?usp=sharing"",""ภูเก็ต!J237"")"),101.75)</f>
        <v>101.75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IFERROR(__xludf.DUMMYFUNCTION("IMPORTRANGE(""https://docs.google.com/spreadsheets/d/1IYY_tgx_IHuhSq3AJ5eI5OnqOPBNLWSHKh2a30DoXe8/edit?usp=sharing"",""ภูเก็ต!I238"")"),20)</f>
        <v>20</v>
      </c>
      <c r="J343" s="194">
        <f ca="1">IFERROR(__xludf.DUMMYFUNCTION("IMPORTRANGE(""https://docs.google.com/spreadsheets/d/1IYY_tgx_IHuhSq3AJ5eI5OnqOPBNLWSHKh2a30DoXe8/edit?usp=sharing"",""ภูเก็ต!J238"")"),0)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4">
        <f ca="1">IFERROR(__xludf.DUMMYFUNCTION("IMPORTRANGE(""https://docs.google.com/spreadsheets/d/1IYY_tgx_IHuhSq3AJ5eI5OnqOPBNLWSHKh2a30DoXe8/edit?usp=sharing"",""ภูเก็ต!J239"")"),0)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IFERROR(__xludf.DUMMYFUNCTION("IMPORTRANGE(""https://docs.google.com/spreadsheets/d/1IYY_tgx_IHuhSq3AJ5eI5OnqOPBNLWSHKh2a30DoXe8/edit?usp=sharing"",""ภูเก็ต!I240"")"),20)</f>
        <v>20</v>
      </c>
      <c r="J345" s="194">
        <f ca="1">IFERROR(__xludf.DUMMYFUNCTION("IMPORTRANGE(""https://docs.google.com/spreadsheets/d/1IYY_tgx_IHuhSq3AJ5eI5OnqOPBNLWSHKh2a30DoXe8/edit?usp=sharing"",""ภูเก็ต!J240"")"),19)</f>
        <v>19</v>
      </c>
      <c r="K345" s="348">
        <f t="shared" ca="1" si="103"/>
        <v>95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4">
        <f ca="1">IFERROR(__xludf.DUMMYFUNCTION("IMPORTRANGE(""https://docs.google.com/spreadsheets/d/1IYY_tgx_IHuhSq3AJ5eI5OnqOPBNLWSHKh2a30DoXe8/edit?usp=sharing"",""ภูเก็ต!J241"")"),101.75)</f>
        <v>101.75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IFERROR(__xludf.DUMMYFUNCTION("IMPORTRANGE(""https://docs.google.com/spreadsheets/d/1IYY_tgx_IHuhSq3AJ5eI5OnqOPBNLWSHKh2a30DoXe8/edit?usp=sharing"",""ภูเก็ต!L242"")"),523070)</f>
        <v>523070</v>
      </c>
      <c r="M347" s="364"/>
      <c r="N347" s="364">
        <f ca="1">IFERROR(__xludf.DUMMYFUNCTION("IMPORTRANGE(""https://docs.google.com/spreadsheets/d/1IYY_tgx_IHuhSq3AJ5eI5OnqOPBNLWSHKh2a30DoXe8/edit?usp=sharing"",""ภูเก็ต!M242"")"),464393.56)</f>
        <v>464393.56</v>
      </c>
      <c r="O347" s="364">
        <f ca="1">+IF(L347&gt;0,N347*100/L347,0)</f>
        <v>88.782296824516791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IFERROR(__xludf.DUMMYFUNCTION("IMPORTRANGE(""https://docs.google.com/spreadsheets/d/1IYY_tgx_IHuhSq3AJ5eI5OnqOPBNLWSHKh2a30DoXe8/edit?usp=sharing"",""ภูเก็ต!L244"")"),89120)</f>
        <v>89120</v>
      </c>
      <c r="M349" s="379"/>
      <c r="N349" s="379">
        <f ca="1">IFERROR(__xludf.DUMMYFUNCTION("IMPORTRANGE(""https://docs.google.com/spreadsheets/d/1IYY_tgx_IHuhSq3AJ5eI5OnqOPBNLWSHKh2a30DoXe8/edit?usp=sharing"",""ภูเก็ต!M244"")"),84743.56)</f>
        <v>84743.56</v>
      </c>
      <c r="O349" s="379">
        <f ca="1">+IF(L349&gt;0,N349*100/L349,0)</f>
        <v>95.089272890484736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IFERROR(__xludf.DUMMYFUNCTION("IMPORTRANGE(""https://docs.google.com/spreadsheets/d/1IYY_tgx_IHuhSq3AJ5eI5OnqOPBNLWSHKh2a30DoXe8/edit?usp=sharing"",""ภูเก็ต!L246"")"),0)</f>
        <v>0</v>
      </c>
      <c r="M351" s="168"/>
      <c r="N351" s="168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IFERROR(__xludf.DUMMYFUNCTION("IMPORTRANGE(""https://docs.google.com/spreadsheets/d/1IYY_tgx_IHuhSq3AJ5eI5OnqOPBNLWSHKh2a30DoXe8/edit?usp=sharing"",""ภูเก็ต!L247"")"),89120)</f>
        <v>89120</v>
      </c>
      <c r="M352" s="169"/>
      <c r="N352" s="168">
        <f ca="1">IFERROR(__xludf.DUMMYFUNCTION("IMPORTRANGE(""https://docs.google.com/spreadsheets/d/1IYY_tgx_IHuhSq3AJ5eI5OnqOPBNLWSHKh2a30DoXe8/edit?usp=sharing"",""ภูเก็ต!M247"")"),84743.56)</f>
        <v>84743.56</v>
      </c>
      <c r="O352" s="169">
        <f t="shared" ca="1" si="105"/>
        <v>95.089272890484736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IFERROR(__xludf.DUMMYFUNCTION("IMPORTRANGE(""https://docs.google.com/spreadsheets/d/1IYY_tgx_IHuhSq3AJ5eI5OnqOPBNLWSHKh2a30DoXe8/edit?usp=sharing"",""ภูเก็ต!L248"")"),0)</f>
        <v>0</v>
      </c>
      <c r="M353" s="175"/>
      <c r="N353" s="175">
        <f ca="1">IFERROR(__xludf.DUMMYFUNCTION("IMPORTRANGE(""https://docs.google.com/spreadsheets/d/1IYY_tgx_IHuhSq3AJ5eI5OnqOPBNLWSHKh2a30DoXe8/edit?usp=sharing"",""ภูเก็ต!M248"")"),0)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IFERROR(__xludf.DUMMYFUNCTION("IMPORTRANGE(""https://docs.google.com/spreadsheets/d/1IYY_tgx_IHuhSq3AJ5eI5OnqOPBNLWSHKh2a30DoXe8/edit?usp=sharing"",""ภูเก็ต!L249"")"),89120)</f>
        <v>89120</v>
      </c>
      <c r="M354" s="175"/>
      <c r="N354" s="172">
        <f ca="1">IFERROR(__xludf.DUMMYFUNCTION("IMPORTRANGE(""https://docs.google.com/spreadsheets/d/1IYY_tgx_IHuhSq3AJ5eI5OnqOPBNLWSHKh2a30DoXe8/edit?usp=sharing"",""ภูเก็ต!M249"")"),84743.56)</f>
        <v>84743.56</v>
      </c>
      <c r="O354" s="175">
        <f t="shared" ca="1" si="105"/>
        <v>95.089272890484736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IFERROR(__xludf.DUMMYFUNCTION("IMPORTRANGE(""https://docs.google.com/spreadsheets/d/1IYY_tgx_IHuhSq3AJ5eI5OnqOPBNLWSHKh2a30DoXe8/edit?usp=sharing"",""ภูเก็ต!M251"")"),43000)</f>
        <v>43000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IFERROR(__xludf.DUMMYFUNCTION("IMPORTRANGE(""https://docs.google.com/spreadsheets/d/1IYY_tgx_IHuhSq3AJ5eI5OnqOPBNLWSHKh2a30DoXe8/edit?usp=sharing"",""ภูเก็ต!M253"")"),14143.56)</f>
        <v>14143.56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IFERROR(__xludf.DUMMYFUNCTION("IMPORTRANGE(""https://docs.google.com/spreadsheets/d/1IYY_tgx_IHuhSq3AJ5eI5OnqOPBNLWSHKh2a30DoXe8/edit?usp=sharing"",""ภูเก็ต!J255"")"),0)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IFERROR(__xludf.DUMMYFUNCTION("IMPORTRANGE(""https://docs.google.com/spreadsheets/d/1IYY_tgx_IHuhSq3AJ5eI5OnqOPBNLWSHKh2a30DoXe8/edit?usp=sharing"",""ภูเก็ต!J256"")"),1)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IFERROR(__xludf.DUMMYFUNCTION("IMPORTRANGE(""https://docs.google.com/spreadsheets/d/1IYY_tgx_IHuhSq3AJ5eI5OnqOPBNLWSHKh2a30DoXe8/edit?usp=sharing"",""ภูเก็ต!J257"")"),1)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IFERROR(__xludf.DUMMYFUNCTION("IMPORTRANGE(""https://docs.google.com/spreadsheets/d/1IYY_tgx_IHuhSq3AJ5eI5OnqOPBNLWSHKh2a30DoXe8/edit?usp=sharing"",""ภูเก็ต!J258"")"),1)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IFERROR(__xludf.DUMMYFUNCTION("IMPORTRANGE(""https://docs.google.com/spreadsheets/d/1IYY_tgx_IHuhSq3AJ5eI5OnqOPBNLWSHKh2a30DoXe8/edit?usp=sharing"",""ภูเก็ต!J166"")"),0)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IFERROR(__xludf.DUMMYFUNCTION("IMPORTRANGE(""https://docs.google.com/spreadsheets/d/1IYY_tgx_IHuhSq3AJ5eI5OnqOPBNLWSHKh2a30DoXe8/edit?usp=sharing"",""ภูเก็ต!J166"")"),0)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IFERROR(__xludf.DUMMYFUNCTION("IMPORTRANGE(""https://docs.google.com/spreadsheets/d/1IYY_tgx_IHuhSq3AJ5eI5OnqOPBNLWSHKh2a30DoXe8/edit?usp=sharing"",""ภูเก็ต!J166"")"),0)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IFERROR(__xludf.DUMMYFUNCTION("IMPORTRANGE(""https://docs.google.com/spreadsheets/d/1IYY_tgx_IHuhSq3AJ5eI5OnqOPBNLWSHKh2a30DoXe8/edit?usp=sharing"",""ภูเก็ต!J166"")"),0)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IFERROR(__xludf.DUMMYFUNCTION("IMPORTRANGE(""https://docs.google.com/spreadsheets/d/1IYY_tgx_IHuhSq3AJ5eI5OnqOPBNLWSHKh2a30DoXe8/edit?usp=sharing"",""ภูเก็ต!I263"")"),20)</f>
        <v>20</v>
      </c>
      <c r="J368" s="194">
        <f ca="1">IFERROR(__xludf.DUMMYFUNCTION("IMPORTRANGE(""https://docs.google.com/spreadsheets/d/1IYY_tgx_IHuhSq3AJ5eI5OnqOPBNLWSHKh2a30DoXe8/edit?usp=sharing"",""ภูเก็ต!J263"")"),20)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IFERROR(__xludf.DUMMYFUNCTION("IMPORTRANGE(""https://docs.google.com/spreadsheets/d/1IYY_tgx_IHuhSq3AJ5eI5OnqOPBNLWSHKh2a30DoXe8/edit?usp=sharing"",""ภูเก็ต!I164"")"),0)</f>
        <v>0</v>
      </c>
      <c r="J369" s="210">
        <f ca="1">IFERROR(__xludf.DUMMYFUNCTION("IMPORTRANGE(""https://docs.google.com/spreadsheets/d/1IYY_tgx_IHuhSq3AJ5eI5OnqOPBNLWSHKh2a30DoXe8/edit?usp=sharing"",""ภูเก็ต!J164"")"),0)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IFERROR(__xludf.DUMMYFUNCTION("IMPORTRANGE(""https://docs.google.com/spreadsheets/d/1IYY_tgx_IHuhSq3AJ5eI5OnqOPBNLWSHKh2a30DoXe8/edit?usp=sharing"",""ภูเก็ต!I265"")"),20)</f>
        <v>20</v>
      </c>
      <c r="J370" s="210">
        <f ca="1">IFERROR(__xludf.DUMMYFUNCTION("IMPORTRANGE(""https://docs.google.com/spreadsheets/d/1IYY_tgx_IHuhSq3AJ5eI5OnqOPBNLWSHKh2a30DoXe8/edit?usp=sharing"",""ภูเก็ต!J265"")"),20)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IFERROR(__xludf.DUMMYFUNCTION("IMPORTRANGE(""https://docs.google.com/spreadsheets/d/1IYY_tgx_IHuhSq3AJ5eI5OnqOPBNLWSHKh2a30DoXe8/edit?usp=sharing"",""ภูเก็ต!I164"")"),0)</f>
        <v>0</v>
      </c>
      <c r="J371" s="195">
        <f ca="1">IFERROR(__xludf.DUMMYFUNCTION("IMPORTRANGE(""https://docs.google.com/spreadsheets/d/1IYY_tgx_IHuhSq3AJ5eI5OnqOPBNLWSHKh2a30DoXe8/edit?usp=sharing"",""ภูเก็ต!J164"")"),0)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IFERROR(__xludf.DUMMYFUNCTION("IMPORTRANGE(""https://docs.google.com/spreadsheets/d/1IYY_tgx_IHuhSq3AJ5eI5OnqOPBNLWSHKh2a30DoXe8/edit?usp=sharing"",""ภูเก็ต!I267"")"),20)</f>
        <v>20</v>
      </c>
      <c r="J372" s="195">
        <f ca="1">IFERROR(__xludf.DUMMYFUNCTION("IMPORTRANGE(""https://docs.google.com/spreadsheets/d/1IYY_tgx_IHuhSq3AJ5eI5OnqOPBNLWSHKh2a30DoXe8/edit?usp=sharing"",""ภูเก็ต!J267"")"),20)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IFERROR(__xludf.DUMMYFUNCTION("IMPORTRANGE(""https://docs.google.com/spreadsheets/d/1IYY_tgx_IHuhSq3AJ5eI5OnqOPBNLWSHKh2a30DoXe8/edit?usp=sharing"",""ภูเก็ต!I164"")"),0)</f>
        <v>0</v>
      </c>
      <c r="J373" s="210">
        <f ca="1">IFERROR(__xludf.DUMMYFUNCTION("IMPORTRANGE(""https://docs.google.com/spreadsheets/d/1IYY_tgx_IHuhSq3AJ5eI5OnqOPBNLWSHKh2a30DoXe8/edit?usp=sharing"",""ภูเก็ต!J164"")"),0)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IFERROR(__xludf.DUMMYFUNCTION("IMPORTRANGE(""https://docs.google.com/spreadsheets/d/1IYY_tgx_IHuhSq3AJ5eI5OnqOPBNLWSHKh2a30DoXe8/edit?usp=sharing"",""ภูเก็ต!I164"")"),0)</f>
        <v>0</v>
      </c>
      <c r="J374" s="194">
        <f ca="1">IFERROR(__xludf.DUMMYFUNCTION("IMPORTRANGE(""https://docs.google.com/spreadsheets/d/1IYY_tgx_IHuhSq3AJ5eI5OnqOPBNLWSHKh2a30DoXe8/edit?usp=sharing"",""ภูเก็ต!J164"")"),0)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IFERROR(__xludf.DUMMYFUNCTION("IMPORTRANGE(""https://docs.google.com/spreadsheets/d/1IYY_tgx_IHuhSq3AJ5eI5OnqOPBNLWSHKh2a30DoXe8/edit?usp=sharing"",""ภูเก็ต!I270"")"),40)</f>
        <v>40</v>
      </c>
      <c r="J375" s="194">
        <f ca="1">IFERROR(__xludf.DUMMYFUNCTION("IMPORTRANGE(""https://docs.google.com/spreadsheets/d/1IYY_tgx_IHuhSq3AJ5eI5OnqOPBNLWSHKh2a30DoXe8/edit?usp=sharing"",""ภูเก็ต!J270"")"),0)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IFERROR(__xludf.DUMMYFUNCTION("IMPORTRANGE(""https://docs.google.com/spreadsheets/d/1IYY_tgx_IHuhSq3AJ5eI5OnqOPBNLWSHKh2a30DoXe8/edit?usp=sharing"",""ภูเก็ต!I271"")"),0)</f>
        <v>0</v>
      </c>
      <c r="J376" s="195">
        <f ca="1">IFERROR(__xludf.DUMMYFUNCTION("IMPORTRANGE(""https://docs.google.com/spreadsheets/d/1IYY_tgx_IHuhSq3AJ5eI5OnqOPBNLWSHKh2a30DoXe8/edit?usp=sharing"",""ภูเก็ต!J271"")"),0)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IFERROR(__xludf.DUMMYFUNCTION("IMPORTRANGE(""https://docs.google.com/spreadsheets/d/1IYY_tgx_IHuhSq3AJ5eI5OnqOPBNLWSHKh2a30DoXe8/edit?usp=sharing"",""ภูเก็ต!I272"")"),40)</f>
        <v>40</v>
      </c>
      <c r="J377" s="210">
        <f ca="1">IFERROR(__xludf.DUMMYFUNCTION("IMPORTRANGE(""https://docs.google.com/spreadsheets/d/1IYY_tgx_IHuhSq3AJ5eI5OnqOPBNLWSHKh2a30DoXe8/edit?usp=sharing"",""ภูเก็ต!J272"")"),0)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IFERROR(__xludf.DUMMYFUNCTION("IMPORTRANGE(""https://docs.google.com/spreadsheets/d/1IYY_tgx_IHuhSq3AJ5eI5OnqOPBNLWSHKh2a30DoXe8/edit?usp=sharing"",""ภูเก็ต!J273"")"),0)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IFERROR(__xludf.DUMMYFUNCTION("IMPORTRANGE(""https://docs.google.com/spreadsheets/d/1IYY_tgx_IHuhSq3AJ5eI5OnqOPBNLWSHKh2a30DoXe8/edit?usp=sharing"",""ภูเก็ต!J274"")"),0)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IFERROR(__xludf.DUMMYFUNCTION("IMPORTRANGE(""https://docs.google.com/spreadsheets/d/1IYY_tgx_IHuhSq3AJ5eI5OnqOPBNLWSHKh2a30DoXe8/edit?usp=sharing"",""ภูเก็ต!M275"")"),77650)</f>
        <v>77650</v>
      </c>
      <c r="O380" s="379">
        <f ca="1">+IF(L380&gt;0,N380*100/L380,0)</f>
        <v>88.530384220727399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IFERROR(__xludf.DUMMYFUNCTION("IMPORTRANGE(""https://docs.google.com/spreadsheets/d/1IYY_tgx_IHuhSq3AJ5eI5OnqOPBNLWSHKh2a30DoXe8/edit?usp=sharing"",""ภูเก็ต!L277"")"),0)</f>
        <v>0</v>
      </c>
      <c r="M382" s="168"/>
      <c r="N382" s="168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IFERROR(__xludf.DUMMYFUNCTION("IMPORTRANGE(""https://docs.google.com/spreadsheets/d/1IYY_tgx_IHuhSq3AJ5eI5OnqOPBNLWSHKh2a30DoXe8/edit?usp=sharing"",""ภูเก็ต!M278"")"),77650)</f>
        <v>77650</v>
      </c>
      <c r="O383" s="169">
        <f t="shared" ca="1" si="109"/>
        <v>88.530384220727399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IFERROR(__xludf.DUMMYFUNCTION("IMPORTRANGE(""https://docs.google.com/spreadsheets/d/1IYY_tgx_IHuhSq3AJ5eI5OnqOPBNLWSHKh2a30DoXe8/edit?usp=sharing"",""ภูเก็ต!L279"")"),0)</f>
        <v>0</v>
      </c>
      <c r="M384" s="175"/>
      <c r="N384" s="175">
        <f ca="1">IFERROR(__xludf.DUMMYFUNCTION("IMPORTRANGE(""https://docs.google.com/spreadsheets/d/1IYY_tgx_IHuhSq3AJ5eI5OnqOPBNLWSHKh2a30DoXe8/edit?usp=sharing"",""ภูเก็ต!M279"")"),0)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IFERROR(__xludf.DUMMYFUNCTION("IMPORTRANGE(""https://docs.google.com/spreadsheets/d/1IYY_tgx_IHuhSq3AJ5eI5OnqOPBNLWSHKh2a30DoXe8/edit?usp=sharing"",""ภูเก็ต!L280"")"),87710)</f>
        <v>87710</v>
      </c>
      <c r="M385" s="175"/>
      <c r="N385" s="172">
        <f ca="1">IFERROR(__xludf.DUMMYFUNCTION("IMPORTRANGE(""https://docs.google.com/spreadsheets/d/1IYY_tgx_IHuhSq3AJ5eI5OnqOPBNLWSHKh2a30DoXe8/edit?usp=sharing"",""ภูเก็ต!M280"")"),77650)</f>
        <v>77650</v>
      </c>
      <c r="O385" s="175">
        <f t="shared" ca="1" si="109"/>
        <v>88.530384220727399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IFERROR(__xludf.DUMMYFUNCTION("IMPORTRANGE(""https://docs.google.com/spreadsheets/d/1IYY_tgx_IHuhSq3AJ5eI5OnqOPBNLWSHKh2a30DoXe8/edit?usp=sharing"",""ภูเก็ต!M281"")"),32700)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IFERROR(__xludf.DUMMYFUNCTION("IMPORTRANGE(""https://docs.google.com/spreadsheets/d/1IYY_tgx_IHuhSq3AJ5eI5OnqOPBNLWSHKh2a30DoXe8/edit?usp=sharing"",""ภูเก็ต!M282"")"),31250)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IFERROR(__xludf.DUMMYFUNCTION("IMPORTRANGE(""https://docs.google.com/spreadsheets/d/1IYY_tgx_IHuhSq3AJ5eI5OnqOPBNLWSHKh2a30DoXe8/edit?usp=sharing"",""ภูเก็ต!M284"")"),13700)</f>
        <v>13700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IFERROR(__xludf.DUMMYFUNCTION("IMPORTRANGE(""https://docs.google.com/spreadsheets/d/1IYY_tgx_IHuhSq3AJ5eI5OnqOPBNLWSHKh2a30DoXe8/edit?usp=sharing"",""ภูเก็ต!J286"")"),0)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IFERROR(__xludf.DUMMYFUNCTION("IMPORTRANGE(""https://docs.google.com/spreadsheets/d/1IYY_tgx_IHuhSq3AJ5eI5OnqOPBNLWSHKh2a30DoXe8/edit?usp=sharing"",""ภูเก็ต!J287"")"),1)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IFERROR(__xludf.DUMMYFUNCTION("IMPORTRANGE(""https://docs.google.com/spreadsheets/d/1IYY_tgx_IHuhSq3AJ5eI5OnqOPBNLWSHKh2a30DoXe8/edit?usp=sharing"",""ภูเก็ต!J288"")"),1)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IFERROR(__xludf.DUMMYFUNCTION("IMPORTRANGE(""https://docs.google.com/spreadsheets/d/1IYY_tgx_IHuhSq3AJ5eI5OnqOPBNLWSHKh2a30DoXe8/edit?usp=sharing"",""ภูเก็ต!J289"")"),1)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IFERROR(__xludf.DUMMYFUNCTION("IMPORTRANGE(""https://docs.google.com/spreadsheets/d/1IYY_tgx_IHuhSq3AJ5eI5OnqOPBNLWSHKh2a30DoXe8/edit?usp=sharing"",""ภูเก็ต!I291"")"),5)</f>
        <v>5</v>
      </c>
      <c r="J396" s="204">
        <f ca="1">IFERROR(__xludf.DUMMYFUNCTION("IMPORTRANGE(""https://docs.google.com/spreadsheets/d/1IYY_tgx_IHuhSq3AJ5eI5OnqOPBNLWSHKh2a30DoXe8/edit?usp=sharing"",""ภูเก็ต!J291"")"),5)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IFERROR(__xludf.DUMMYFUNCTION("IMPORTRANGE(""https://docs.google.com/spreadsheets/d/1IYY_tgx_IHuhSq3AJ5eI5OnqOPBNLWSHKh2a30DoXe8/edit?usp=sharing"",""ภูเก็ต!I292"")"),50)</f>
        <v>50</v>
      </c>
      <c r="J397" s="204">
        <f ca="1">IFERROR(__xludf.DUMMYFUNCTION("IMPORTRANGE(""https://docs.google.com/spreadsheets/d/1IYY_tgx_IHuhSq3AJ5eI5OnqOPBNLWSHKh2a30DoXe8/edit?usp=sharing"",""ภูเก็ต!J292"")"),0)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IFERROR(__xludf.DUMMYFUNCTION("IMPORTRANGE(""https://docs.google.com/spreadsheets/d/1IYY_tgx_IHuhSq3AJ5eI5OnqOPBNLWSHKh2a30DoXe8/edit?usp=sharing"",""ภูเก็ต!I293"")"),5)</f>
        <v>5</v>
      </c>
      <c r="J398" s="204">
        <f ca="1">IFERROR(__xludf.DUMMYFUNCTION("IMPORTRANGE(""https://docs.google.com/spreadsheets/d/1IYY_tgx_IHuhSq3AJ5eI5OnqOPBNLWSHKh2a30DoXe8/edit?usp=sharing"",""ภูเก็ต!J293"")"),0)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IFERROR(__xludf.DUMMYFUNCTION("IMPORTRANGE(""https://docs.google.com/spreadsheets/d/1IYY_tgx_IHuhSq3AJ5eI5OnqOPBNLWSHKh2a30DoXe8/edit?usp=sharing"",""ภูเก็ต!J294"")"),0)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IFERROR(__xludf.DUMMYFUNCTION("IMPORTRANGE(""https://docs.google.com/spreadsheets/d/1IYY_tgx_IHuhSq3AJ5eI5OnqOPBNLWSHKh2a30DoXe8/edit?usp=sharing"",""ภูเก็ต!J295"")"),0)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IFERROR(__xludf.DUMMYFUNCTION("IMPORTRANGE(""https://docs.google.com/spreadsheets/d/1IYY_tgx_IHuhSq3AJ5eI5OnqOPBNLWSHKh2a30DoXe8/edit?usp=sharing"",""ภูเก็ต!M296"")"),107430)</f>
        <v>107430</v>
      </c>
      <c r="O401" s="379">
        <f ca="1">+IF(L401&gt;0,N401*100/L401,0)</f>
        <v>92.357290233837688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IFERROR(__xludf.DUMMYFUNCTION("IMPORTRANGE(""https://docs.google.com/spreadsheets/d/1IYY_tgx_IHuhSq3AJ5eI5OnqOPBNLWSHKh2a30DoXe8/edit?usp=sharing"",""ภูเก็ต!L298"")"),0)</f>
        <v>0</v>
      </c>
      <c r="M403" s="168"/>
      <c r="N403" s="175">
        <f ca="1">IFERROR(__xludf.DUMMYFUNCTION("IMPORTRANGE(""https://docs.google.com/spreadsheets/d/1IYY_tgx_IHuhSq3AJ5eI5OnqOPBNLWSHKh2a30DoXe8/edit?usp=sharing"",""ภูเก็ต!M298"")"),0)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IFERROR(__xludf.DUMMYFUNCTION("IMPORTRANGE(""https://docs.google.com/spreadsheets/d/1IYY_tgx_IHuhSq3AJ5eI5OnqOPBNLWSHKh2a30DoXe8/edit?usp=sharing"",""ภูเก็ต!M299"")"),107430)</f>
        <v>107430</v>
      </c>
      <c r="O404" s="175">
        <f t="shared" ca="1" si="112"/>
        <v>92.357290233837688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IFERROR(__xludf.DUMMYFUNCTION("IMPORTRANGE(""https://docs.google.com/spreadsheets/d/1IYY_tgx_IHuhSq3AJ5eI5OnqOPBNLWSHKh2a30DoXe8/edit?usp=sharing"",""ภูเก็ต!L300"")"),0)</f>
        <v>0</v>
      </c>
      <c r="M405" s="175"/>
      <c r="N405" s="175">
        <f ca="1">IFERROR(__xludf.DUMMYFUNCTION("IMPORTRANGE(""https://docs.google.com/spreadsheets/d/1IYY_tgx_IHuhSq3AJ5eI5OnqOPBNLWSHKh2a30DoXe8/edit?usp=sharing"",""ภูเก็ต!M300"")"),0)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IFERROR(__xludf.DUMMYFUNCTION("IMPORTRANGE(""https://docs.google.com/spreadsheets/d/1IYY_tgx_IHuhSq3AJ5eI5OnqOPBNLWSHKh2a30DoXe8/edit?usp=sharing"",""ภูเก็ต!L301"")"),116320)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IFERROR(__xludf.DUMMYFUNCTION("IMPORTRANGE(""https://docs.google.com/spreadsheets/d/1IYY_tgx_IHuhSq3AJ5eI5OnqOPBNLWSHKh2a30DoXe8/edit?usp=sharing"",""ภูเก็ต!M301"")"),107430)</f>
        <v>107430</v>
      </c>
      <c r="O406" s="175">
        <f t="shared" ca="1" si="112"/>
        <v>92.357290233837688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IFERROR(__xludf.DUMMYFUNCTION("IMPORTRANGE(""https://docs.google.com/spreadsheets/d/1IYY_tgx_IHuhSq3AJ5eI5OnqOPBNLWSHKh2a30DoXe8/edit?usp=sharing"",""ภูเก็ต!M302"")"),69500)</f>
        <v>69500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IFERROR(__xludf.DUMMYFUNCTION("IMPORTRANGE(""https://docs.google.com/spreadsheets/d/1IYY_tgx_IHuhSq3AJ5eI5OnqOPBNLWSHKh2a30DoXe8/edit?usp=sharing"",""ภูเก็ต!M303"")"),22000)</f>
        <v>22000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IFERROR(__xludf.DUMMYFUNCTION("IMPORTRANGE(""https://docs.google.com/spreadsheets/d/1IYY_tgx_IHuhSq3AJ5eI5OnqOPBNLWSHKh2a30DoXe8/edit?usp=sharing"",""ภูเก็ต!M305"")"),15930)</f>
        <v>15930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IFERROR(__xludf.DUMMYFUNCTION("IMPORTRANGE(""https://docs.google.com/spreadsheets/d/1IYY_tgx_IHuhSq3AJ5eI5OnqOPBNLWSHKh2a30DoXe8/edit?usp=sharing"",""ภูเก็ต!J307"")"),0)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IFERROR(__xludf.DUMMYFUNCTION("IMPORTRANGE(""https://docs.google.com/spreadsheets/d/1IYY_tgx_IHuhSq3AJ5eI5OnqOPBNLWSHKh2a30DoXe8/edit?usp=sharing"",""ภูเก็ต!J308"")"),1)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IFERROR(__xludf.DUMMYFUNCTION("IMPORTRANGE(""https://docs.google.com/spreadsheets/d/1IYY_tgx_IHuhSq3AJ5eI5OnqOPBNLWSHKh2a30DoXe8/edit?usp=sharing"",""ภูเก็ต!J309"")"),1)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IFERROR(__xludf.DUMMYFUNCTION("IMPORTRANGE(""https://docs.google.com/spreadsheets/d/1IYY_tgx_IHuhSq3AJ5eI5OnqOPBNLWSHKh2a30DoXe8/edit?usp=sharing"",""ภูเก็ต!J310"")"),1)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IFERROR(__xludf.DUMMYFUNCTION("IMPORTRANGE(""https://docs.google.com/spreadsheets/d/1IYY_tgx_IHuhSq3AJ5eI5OnqOPBNLWSHKh2a30DoXe8/edit?usp=sharing"",""ภูเก็ต!I311"")"),30)</f>
        <v>30</v>
      </c>
      <c r="J416" s="207">
        <f ca="1">IFERROR(__xludf.DUMMYFUNCTION("IMPORTRANGE(""https://docs.google.com/spreadsheets/d/1IYY_tgx_IHuhSq3AJ5eI5OnqOPBNLWSHKh2a30DoXe8/edit?usp=sharing"",""ภูเก็ต!J311"")"),30)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IFERROR(__xludf.DUMMYFUNCTION("IMPORTRANGE(""https://docs.google.com/spreadsheets/d/1IYY_tgx_IHuhSq3AJ5eI5OnqOPBNLWSHKh2a30DoXe8/edit?usp=sharing"",""ภูเก็ต!J328"")"),0)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IFERROR(__xludf.DUMMYFUNCTION("IMPORTRANGE(""https://docs.google.com/spreadsheets/d/1IYY_tgx_IHuhSq3AJ5eI5OnqOPBNLWSHKh2a30DoXe8/edit?usp=sharing"",""ภูเก็ต!J329"")"),0)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IFERROR(__xludf.DUMMYFUNCTION("IMPORTRANGE(""https://docs.google.com/spreadsheets/d/1IYY_tgx_IHuhSq3AJ5eI5OnqOPBNLWSHKh2a30DoXe8/edit?usp=sharing"",""ภูเก็ต!M330"")"),72580)</f>
        <v>72580</v>
      </c>
      <c r="O435" s="418">
        <f t="shared" ref="O435:O439" ca="1" si="114">+IF(L435&gt;0,N435*100/L435,0)</f>
        <v>95.5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IFERROR(__xludf.DUMMYFUNCTION("IMPORTRANGE(""https://docs.google.com/spreadsheets/d/1IYY_tgx_IHuhSq3AJ5eI5OnqOPBNLWSHKh2a30DoXe8/edit?usp=sharing"",""ภูเก็ต!L331"")"),0)</f>
        <v>0</v>
      </c>
      <c r="M436" s="168"/>
      <c r="N436" s="175">
        <f ca="1">IFERROR(__xludf.DUMMYFUNCTION("IMPORTRANGE(""https://docs.google.com/spreadsheets/d/1IYY_tgx_IHuhSq3AJ5eI5OnqOPBNLWSHKh2a30DoXe8/edit?usp=sharing"",""ภูเก็ต!M331"")"),0)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IFERROR(__xludf.DUMMYFUNCTION("IMPORTRANGE(""https://docs.google.com/spreadsheets/d/1IYY_tgx_IHuhSq3AJ5eI5OnqOPBNLWSHKh2a30DoXe8/edit?usp=sharing"",""ภูเก็ต!L332"")"),76000)</f>
        <v>76000</v>
      </c>
      <c r="M437" s="169"/>
      <c r="N437" s="175">
        <f ca="1">IFERROR(__xludf.DUMMYFUNCTION("IMPORTRANGE(""https://docs.google.com/spreadsheets/d/1IYY_tgx_IHuhSq3AJ5eI5OnqOPBNLWSHKh2a30DoXe8/edit?usp=sharing"",""ภูเก็ต!M332"")"),72580)</f>
        <v>72580</v>
      </c>
      <c r="O437" s="175">
        <f t="shared" ca="1" si="114"/>
        <v>95.5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IFERROR(__xludf.DUMMYFUNCTION("IMPORTRANGE(""https://docs.google.com/spreadsheets/d/1IYY_tgx_IHuhSq3AJ5eI5OnqOPBNLWSHKh2a30DoXe8/edit?usp=sharing"",""ภูเก็ต!L333"")"),0)</f>
        <v>0</v>
      </c>
      <c r="M438" s="175"/>
      <c r="N438" s="175">
        <f ca="1">IFERROR(__xludf.DUMMYFUNCTION("IMPORTRANGE(""https://docs.google.com/spreadsheets/d/1IYY_tgx_IHuhSq3AJ5eI5OnqOPBNLWSHKh2a30DoXe8/edit?usp=sharing"",""ภูเก็ต!M333"")"),0)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IFERROR(__xludf.DUMMYFUNCTION("IMPORTRANGE(""https://docs.google.com/spreadsheets/d/1IYY_tgx_IHuhSq3AJ5eI5OnqOPBNLWSHKh2a30DoXe8/edit?usp=sharing"",""ภูเก็ต!L334"")"),76000)</f>
        <v>76000</v>
      </c>
      <c r="M439" s="175"/>
      <c r="N439" s="175">
        <f ca="1">IFERROR(__xludf.DUMMYFUNCTION("IMPORTRANGE(""https://docs.google.com/spreadsheets/d/1IYY_tgx_IHuhSq3AJ5eI5OnqOPBNLWSHKh2a30DoXe8/edit?usp=sharing"",""ภูเก็ต!M334"")"),72580)</f>
        <v>72580</v>
      </c>
      <c r="O439" s="175">
        <f t="shared" ca="1" si="114"/>
        <v>95.5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IFERROR(__xludf.DUMMYFUNCTION("IMPORTRANGE(""https://docs.google.com/spreadsheets/d/1IYY_tgx_IHuhSq3AJ5eI5OnqOPBNLWSHKh2a30DoXe8/edit?usp=sharing"",""ภูเก็ต!M335"")"),25200)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IFERROR(__xludf.DUMMYFUNCTION("IMPORTRANGE(""https://docs.google.com/spreadsheets/d/1IYY_tgx_IHuhSq3AJ5eI5OnqOPBNLWSHKh2a30DoXe8/edit?usp=sharing"",""ภูเก็ต!M338"")"),47380)</f>
        <v>47380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IFERROR(__xludf.DUMMYFUNCTION("IMPORTRANGE(""https://docs.google.com/spreadsheets/d/1IYY_tgx_IHuhSq3AJ5eI5OnqOPBNLWSHKh2a30DoXe8/edit?usp=sharing"",""ภูเก็ต!J340"")"),0)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IFERROR(__xludf.DUMMYFUNCTION("IMPORTRANGE(""https://docs.google.com/spreadsheets/d/1IYY_tgx_IHuhSq3AJ5eI5OnqOPBNLWSHKh2a30DoXe8/edit?usp=sharing"",""ภูเก็ต!J341"")"),1)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IFERROR(__xludf.DUMMYFUNCTION("IMPORTRANGE(""https://docs.google.com/spreadsheets/d/1IYY_tgx_IHuhSq3AJ5eI5OnqOPBNLWSHKh2a30DoXe8/edit?usp=sharing"",""ภูเก็ต!J342"")"),1)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IFERROR(__xludf.DUMMYFUNCTION("IMPORTRANGE(""https://docs.google.com/spreadsheets/d/1IYY_tgx_IHuhSq3AJ5eI5OnqOPBNLWSHKh2a30DoXe8/edit?usp=sharing"",""ภูเก็ต!J343"")"),1)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7">
        <f ca="1">IFERROR(__xludf.DUMMYFUNCTION("IMPORTRANGE(""https://docs.google.com/spreadsheets/d/1IYY_tgx_IHuhSq3AJ5eI5OnqOPBNLWSHKh2a30DoXe8/edit?usp=sharing"",""ภูเก็ต!J344"")"),10)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5">
        <f ca="1">IFERROR(__xludf.DUMMYFUNCTION("IMPORTRANGE(""https://docs.google.com/spreadsheets/d/1IYY_tgx_IHuhSq3AJ5eI5OnqOPBNLWSHKh2a30DoXe8/edit?usp=sharing"",""ภูเก็ต!J345"")"),10)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4">
        <f ca="1">IFERROR(__xludf.DUMMYFUNCTION("IMPORTRANGE(""https://docs.google.com/spreadsheets/d/1IYY_tgx_IHuhSq3AJ5eI5OnqOPBNLWSHKh2a30DoXe8/edit?usp=sharing"",""ภูเก็ต!J346"")"),0)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IFERROR(__xludf.DUMMYFUNCTION("IMPORTRANGE(""https://docs.google.com/spreadsheets/d/1IYY_tgx_IHuhSq3AJ5eI5OnqOPBNLWSHKh2a30DoXe8/edit?usp=sharing"",""ภูเก็ต!I347"")"),0)</f>
        <v>0</v>
      </c>
      <c r="J452" s="194">
        <f ca="1">IFERROR(__xludf.DUMMYFUNCTION("IMPORTRANGE(""https://docs.google.com/spreadsheets/d/1IYY_tgx_IHuhSq3AJ5eI5OnqOPBNLWSHKh2a30DoXe8/edit?usp=sharing"",""ภูเก็ต!J347"")"),0)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IFERROR(__xludf.DUMMYFUNCTION("IMPORTRANGE(""https://docs.google.com/spreadsheets/d/1IYY_tgx_IHuhSq3AJ5eI5OnqOPBNLWSHKh2a30DoXe8/edit?usp=sharing"",""ภูเก็ต!J348"")"),0)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IFERROR(__xludf.DUMMYFUNCTION("IMPORTRANGE(""https://docs.google.com/spreadsheets/d/1IYY_tgx_IHuhSq3AJ5eI5OnqOPBNLWSHKh2a30DoXe8/edit?usp=sharing"",""ภูเก็ต!J349"")"),0)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IFERROR(__xludf.DUMMYFUNCTION("IMPORTRANGE(""https://docs.google.com/spreadsheets/d/1IYY_tgx_IHuhSq3AJ5eI5OnqOPBNLWSHKh2a30DoXe8/edit?usp=sharing"",""ภูเก็ต!L351"")"),0)</f>
        <v>0</v>
      </c>
      <c r="M456" s="168"/>
      <c r="N456" s="175">
        <f ca="1">IFERROR(__xludf.DUMMYFUNCTION("IMPORTRANGE(""https://docs.google.com/spreadsheets/d/1IYY_tgx_IHuhSq3AJ5eI5OnqOPBNLWSHKh2a30DoXe8/edit?usp=sharing"",""ภูเก็ต!M351"")"),0)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5">
        <f ca="1">IFERROR(__xludf.DUMMYFUNCTION("IMPORTRANGE(""https://docs.google.com/spreadsheets/d/1IYY_tgx_IHuhSq3AJ5eI5OnqOPBNLWSHKh2a30DoXe8/edit?usp=sharing"",""ภูเก็ต!M352"")"),0)</f>
        <v>0</v>
      </c>
      <c r="O457" s="175">
        <f t="shared" ca="1" si="116"/>
        <v>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IFERROR(__xludf.DUMMYFUNCTION("IMPORTRANGE(""https://docs.google.com/spreadsheets/d/1IYY_tgx_IHuhSq3AJ5eI5OnqOPBNLWSHKh2a30DoXe8/edit?usp=sharing"",""ภูเก็ต!L353"")"),0)</f>
        <v>0</v>
      </c>
      <c r="M458" s="175"/>
      <c r="N458" s="175">
        <f ca="1">IFERROR(__xludf.DUMMYFUNCTION("IMPORTRANGE(""https://docs.google.com/spreadsheets/d/1IYY_tgx_IHuhSq3AJ5eI5OnqOPBNLWSHKh2a30DoXe8/edit?usp=sharing"",""ภูเก็ต!M353"")"),0)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IFERROR(__xludf.DUMMYFUNCTION("IMPORTRANGE(""https://docs.google.com/spreadsheets/d/1IYY_tgx_IHuhSq3AJ5eI5OnqOPBNLWSHKh2a30DoXe8/edit?usp=sharing"",""ภูเก็ต!L354"")"),0)</f>
        <v>0</v>
      </c>
      <c r="M459" s="175"/>
      <c r="N459" s="175">
        <f ca="1">IFERROR(__xludf.DUMMYFUNCTION("IMPORTRANGE(""https://docs.google.com/spreadsheets/d/1IYY_tgx_IHuhSq3AJ5eI5OnqOPBNLWSHKh2a30DoXe8/edit?usp=sharing"",""ภูเก็ต!M354"")"),0)</f>
        <v>0</v>
      </c>
      <c r="O459" s="175">
        <f t="shared" ca="1" si="116"/>
        <v>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IFERROR(__xludf.DUMMYFUNCTION("IMPORTRANGE(""https://docs.google.com/spreadsheets/d/1IYY_tgx_IHuhSq3AJ5eI5OnqOPBNLWSHKh2a30DoXe8/edit?usp=sharing"",""ภูเก็ต!M355"")"),0)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IFERROR(__xludf.DUMMYFUNCTION("IMPORTRANGE(""https://docs.google.com/spreadsheets/d/1IYY_tgx_IHuhSq3AJ5eI5OnqOPBNLWSHKh2a30DoXe8/edit?usp=sharing"",""ภูเก็ต!M356"")"),0)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IFERROR(__xludf.DUMMYFUNCTION("IMPORTRANGE(""https://docs.google.com/spreadsheets/d/1IYY_tgx_IHuhSq3AJ5eI5OnqOPBNLWSHKh2a30DoXe8/edit?usp=sharing"",""ภูเก็ต!I359"")"),0)</f>
        <v>0</v>
      </c>
      <c r="J464" s="273">
        <f ca="1">IFERROR(__xludf.DUMMYFUNCTION("IMPORTRANGE(""https://docs.google.com/spreadsheets/d/1IYY_tgx_IHuhSq3AJ5eI5OnqOPBNLWSHKh2a30DoXe8/edit?usp=sharing"",""ภูเก็ต!J359"")"),0)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IFERROR(__xludf.DUMMYFUNCTION("IMPORTRANGE(""https://docs.google.com/spreadsheets/d/1IYY_tgx_IHuhSq3AJ5eI5OnqOPBNLWSHKh2a30DoXe8/edit?usp=sharing"",""ภูเก็ต!I362"")"),0)</f>
        <v>0</v>
      </c>
      <c r="J467" s="195">
        <f ca="1">IFERROR(__xludf.DUMMYFUNCTION("IMPORTRANGE(""https://docs.google.com/spreadsheets/d/1IYY_tgx_IHuhSq3AJ5eI5OnqOPBNLWSHKh2a30DoXe8/edit?usp=sharing"",""ภูเก็ต!J362"")"),0)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IFERROR(__xludf.DUMMYFUNCTION("IMPORTRANGE(""https://docs.google.com/spreadsheets/d/1IYY_tgx_IHuhSq3AJ5eI5OnqOPBNLWSHKh2a30DoXe8/edit?usp=sharing"",""ภูเก็ต!I363"")"),0)</f>
        <v>0</v>
      </c>
      <c r="J468" s="195">
        <f ca="1">IFERROR(__xludf.DUMMYFUNCTION("IMPORTRANGE(""https://docs.google.com/spreadsheets/d/1IYY_tgx_IHuhSq3AJ5eI5OnqOPBNLWSHKh2a30DoXe8/edit?usp=sharing"",""ภูเก็ต!J363"")"),0)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IFERROR(__xludf.DUMMYFUNCTION("IMPORTRANGE(""https://docs.google.com/spreadsheets/d/1IYY_tgx_IHuhSq3AJ5eI5OnqOPBNLWSHKh2a30DoXe8/edit?usp=sharing"",""ภูเก็ต!I364"")"),0)</f>
        <v>0</v>
      </c>
      <c r="J469" s="195">
        <f ca="1">IFERROR(__xludf.DUMMYFUNCTION("IMPORTRANGE(""https://docs.google.com/spreadsheets/d/1IYY_tgx_IHuhSq3AJ5eI5OnqOPBNLWSHKh2a30DoXe8/edit?usp=sharing"",""ภูเก็ต!J364"")"),0)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IFERROR(__xludf.DUMMYFUNCTION("IMPORTRANGE(""https://docs.google.com/spreadsheets/d/1IYY_tgx_IHuhSq3AJ5eI5OnqOPBNLWSHKh2a30DoXe8/edit?usp=sharing"",""ภูเก็ต!I365"")"),0)</f>
        <v>0</v>
      </c>
      <c r="J470" s="195">
        <f ca="1">IFERROR(__xludf.DUMMYFUNCTION("IMPORTRANGE(""https://docs.google.com/spreadsheets/d/1IYY_tgx_IHuhSq3AJ5eI5OnqOPBNLWSHKh2a30DoXe8/edit?usp=sharing"",""ภูเก็ต!J365"")"),0)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IFERROR(__xludf.DUMMYFUNCTION("IMPORTRANGE(""https://docs.google.com/spreadsheets/d/1IYY_tgx_IHuhSq3AJ5eI5OnqOPBNLWSHKh2a30DoXe8/edit?usp=sharing"",""ภูเก็ต!I366"")"),0)</f>
        <v>0</v>
      </c>
      <c r="J471" s="195">
        <f ca="1">IFERROR(__xludf.DUMMYFUNCTION("IMPORTRANGE(""https://docs.google.com/spreadsheets/d/1IYY_tgx_IHuhSq3AJ5eI5OnqOPBNLWSHKh2a30DoXe8/edit?usp=sharing"",""ภูเก็ต!J366"")"),0)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IFERROR(__xludf.DUMMYFUNCTION("IMPORTRANGE(""https://docs.google.com/spreadsheets/d/1IYY_tgx_IHuhSq3AJ5eI5OnqOPBNLWSHKh2a30DoXe8/edit?usp=sharing"",""ภูเก็ต!I367"")"),0)</f>
        <v>0</v>
      </c>
      <c r="J472" s="195">
        <f ca="1">IFERROR(__xludf.DUMMYFUNCTION("IMPORTRANGE(""https://docs.google.com/spreadsheets/d/1IYY_tgx_IHuhSq3AJ5eI5OnqOPBNLWSHKh2a30DoXe8/edit?usp=sharing"",""ภูเก็ต!J367"")"),0)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IFERROR(__xludf.DUMMYFUNCTION("IMPORTRANGE(""https://docs.google.com/spreadsheets/d/1IYY_tgx_IHuhSq3AJ5eI5OnqOPBNLWSHKh2a30DoXe8/edit?usp=sharing"",""ภูเก็ต!I370"")"),0)</f>
        <v>0</v>
      </c>
      <c r="J475" s="195">
        <f ca="1">IFERROR(__xludf.DUMMYFUNCTION("IMPORTRANGE(""https://docs.google.com/spreadsheets/d/1IYY_tgx_IHuhSq3AJ5eI5OnqOPBNLWSHKh2a30DoXe8/edit?usp=sharing"",""ภูเก็ต!J370"")"),0)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IFERROR(__xludf.DUMMYFUNCTION("IMPORTRANGE(""https://docs.google.com/spreadsheets/d/1IYY_tgx_IHuhSq3AJ5eI5OnqOPBNLWSHKh2a30DoXe8/edit?usp=sharing"",""ภูเก็ต!I371"")"),0)</f>
        <v>0</v>
      </c>
      <c r="J476" s="195">
        <f ca="1">IFERROR(__xludf.DUMMYFUNCTION("IMPORTRANGE(""https://docs.google.com/spreadsheets/d/1IYY_tgx_IHuhSq3AJ5eI5OnqOPBNLWSHKh2a30DoXe8/edit?usp=sharing"",""ภูเก็ต!J371"")"),0)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IFERROR(__xludf.DUMMYFUNCTION("IMPORTRANGE(""https://docs.google.com/spreadsheets/d/1IYY_tgx_IHuhSq3AJ5eI5OnqOPBNLWSHKh2a30DoXe8/edit?usp=sharing"",""ภูเก็ต!I372"")"),0)</f>
        <v>0</v>
      </c>
      <c r="J477" s="195">
        <f ca="1">IFERROR(__xludf.DUMMYFUNCTION("IMPORTRANGE(""https://docs.google.com/spreadsheets/d/1IYY_tgx_IHuhSq3AJ5eI5OnqOPBNLWSHKh2a30DoXe8/edit?usp=sharing"",""ภูเก็ต!J372"")"),0)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IFERROR(__xludf.DUMMYFUNCTION("IMPORTRANGE(""https://docs.google.com/spreadsheets/d/1IYY_tgx_IHuhSq3AJ5eI5OnqOPBNLWSHKh2a30DoXe8/edit?usp=sharing"",""ภูเก็ต!I373"")"),0)</f>
        <v>0</v>
      </c>
      <c r="J478" s="195">
        <f ca="1">IFERROR(__xludf.DUMMYFUNCTION("IMPORTRANGE(""https://docs.google.com/spreadsheets/d/1IYY_tgx_IHuhSq3AJ5eI5OnqOPBNLWSHKh2a30DoXe8/edit?usp=sharing"",""ภูเก็ต!J373"")"),0)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IFERROR(__xludf.DUMMYFUNCTION("IMPORTRANGE(""https://docs.google.com/spreadsheets/d/1IYY_tgx_IHuhSq3AJ5eI5OnqOPBNLWSHKh2a30DoXe8/edit?usp=sharing"",""ภูเก็ต!I374"")"),0)</f>
        <v>0</v>
      </c>
      <c r="J479" s="195">
        <f ca="1">IFERROR(__xludf.DUMMYFUNCTION("IMPORTRANGE(""https://docs.google.com/spreadsheets/d/1IYY_tgx_IHuhSq3AJ5eI5OnqOPBNLWSHKh2a30DoXe8/edit?usp=sharing"",""ภูเก็ต!J374"")"),0)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IFERROR(__xludf.DUMMYFUNCTION("IMPORTRANGE(""https://docs.google.com/spreadsheets/d/1IYY_tgx_IHuhSq3AJ5eI5OnqOPBNLWSHKh2a30DoXe8/edit?usp=sharing"",""ภูเก็ต!I375"")"),0)</f>
        <v>0</v>
      </c>
      <c r="J480" s="195">
        <f ca="1">IFERROR(__xludf.DUMMYFUNCTION("IMPORTRANGE(""https://docs.google.com/spreadsheets/d/1IYY_tgx_IHuhSq3AJ5eI5OnqOPBNLWSHKh2a30DoXe8/edit?usp=sharing"",""ภูเก็ต!J375"")"),0)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IFERROR(__xludf.DUMMYFUNCTION("IMPORTRANGE(""https://docs.google.com/spreadsheets/d/1IYY_tgx_IHuhSq3AJ5eI5OnqOPBNLWSHKh2a30DoXe8/edit?usp=sharing"",""ภูเก็ต!I378"")"),0)</f>
        <v>0</v>
      </c>
      <c r="J483" s="195">
        <f ca="1">IFERROR(__xludf.DUMMYFUNCTION("IMPORTRANGE(""https://docs.google.com/spreadsheets/d/1IYY_tgx_IHuhSq3AJ5eI5OnqOPBNLWSHKh2a30DoXe8/edit?usp=sharing"",""ภูเก็ต!J378"")"),0)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IFERROR(__xludf.DUMMYFUNCTION("IMPORTRANGE(""https://docs.google.com/spreadsheets/d/1IYY_tgx_IHuhSq3AJ5eI5OnqOPBNLWSHKh2a30DoXe8/edit?usp=sharing"",""ภูเก็ต!I379"")"),0)</f>
        <v>0</v>
      </c>
      <c r="J484" s="195">
        <f ca="1">IFERROR(__xludf.DUMMYFUNCTION("IMPORTRANGE(""https://docs.google.com/spreadsheets/d/1IYY_tgx_IHuhSq3AJ5eI5OnqOPBNLWSHKh2a30DoXe8/edit?usp=sharing"",""ภูเก็ต!J379"")"),0)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IFERROR(__xludf.DUMMYFUNCTION("IMPORTRANGE(""https://docs.google.com/spreadsheets/d/1IYY_tgx_IHuhSq3AJ5eI5OnqOPBNLWSHKh2a30DoXe8/edit?usp=sharing"",""ภูเก็ต!I380"")"),0)</f>
        <v>0</v>
      </c>
      <c r="J485" s="195">
        <f ca="1">IFERROR(__xludf.DUMMYFUNCTION("IMPORTRANGE(""https://docs.google.com/spreadsheets/d/1IYY_tgx_IHuhSq3AJ5eI5OnqOPBNLWSHKh2a30DoXe8/edit?usp=sharing"",""ภูเก็ต!J380"")"),0)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IFERROR(__xludf.DUMMYFUNCTION("IMPORTRANGE(""https://docs.google.com/spreadsheets/d/1IYY_tgx_IHuhSq3AJ5eI5OnqOPBNLWSHKh2a30DoXe8/edit?usp=sharing"",""ภูเก็ต!I381"")"),0)</f>
        <v>0</v>
      </c>
      <c r="J486" s="195">
        <f ca="1">IFERROR(__xludf.DUMMYFUNCTION("IMPORTRANGE(""https://docs.google.com/spreadsheets/d/1IYY_tgx_IHuhSq3AJ5eI5OnqOPBNLWSHKh2a30DoXe8/edit?usp=sharing"",""ภูเก็ต!J381"")"),0)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IFERROR(__xludf.DUMMYFUNCTION("IMPORTRANGE(""https://docs.google.com/spreadsheets/d/1IYY_tgx_IHuhSq3AJ5eI5OnqOPBNLWSHKh2a30DoXe8/edit?usp=sharing"",""ภูเก็ต!I384"")"),0)</f>
        <v>0</v>
      </c>
      <c r="J489" s="195">
        <f ca="1">IFERROR(__xludf.DUMMYFUNCTION("IMPORTRANGE(""https://docs.google.com/spreadsheets/d/1IYY_tgx_IHuhSq3AJ5eI5OnqOPBNLWSHKh2a30DoXe8/edit?usp=sharing"",""ภูเก็ต!J384"")"),0)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IFERROR(__xludf.DUMMYFUNCTION("IMPORTRANGE(""https://docs.google.com/spreadsheets/d/1IYY_tgx_IHuhSq3AJ5eI5OnqOPBNLWSHKh2a30DoXe8/edit?usp=sharing"",""ภูเก็ต!I385"")"),0)</f>
        <v>0</v>
      </c>
      <c r="J490" s="195">
        <f ca="1">IFERROR(__xludf.DUMMYFUNCTION("IMPORTRANGE(""https://docs.google.com/spreadsheets/d/1IYY_tgx_IHuhSq3AJ5eI5OnqOPBNLWSHKh2a30DoXe8/edit?usp=sharing"",""ภูเก็ต!J385"")"),0)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IFERROR(__xludf.DUMMYFUNCTION("IMPORTRANGE(""https://docs.google.com/spreadsheets/d/1IYY_tgx_IHuhSq3AJ5eI5OnqOPBNLWSHKh2a30DoXe8/edit?usp=sharing"",""ภูเก็ต!I386"")"),0)</f>
        <v>0</v>
      </c>
      <c r="J491" s="195">
        <f ca="1">IFERROR(__xludf.DUMMYFUNCTION("IMPORTRANGE(""https://docs.google.com/spreadsheets/d/1IYY_tgx_IHuhSq3AJ5eI5OnqOPBNLWSHKh2a30DoXe8/edit?usp=sharing"",""ภูเก็ต!J386"")"),0)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IFERROR(__xludf.DUMMYFUNCTION("IMPORTRANGE(""https://docs.google.com/spreadsheets/d/1IYY_tgx_IHuhSq3AJ5eI5OnqOPBNLWSHKh2a30DoXe8/edit?usp=sharing"",""ภูเก็ต!I387"")"),0)</f>
        <v>0</v>
      </c>
      <c r="J492" s="195">
        <f ca="1">IFERROR(__xludf.DUMMYFUNCTION("IMPORTRANGE(""https://docs.google.com/spreadsheets/d/1IYY_tgx_IHuhSq3AJ5eI5OnqOPBNLWSHKh2a30DoXe8/edit?usp=sharing"",""ภูเก็ต!J387"")"),0)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IFERROR(__xludf.DUMMYFUNCTION("IMPORTRANGE(""https://docs.google.com/spreadsheets/d/1IYY_tgx_IHuhSq3AJ5eI5OnqOPBNLWSHKh2a30DoXe8/edit?usp=sharing"",""ภูเก็ต!I388"")"),0)</f>
        <v>0</v>
      </c>
      <c r="J493" s="195">
        <f ca="1">IFERROR(__xludf.DUMMYFUNCTION("IMPORTRANGE(""https://docs.google.com/spreadsheets/d/1IYY_tgx_IHuhSq3AJ5eI5OnqOPBNLWSHKh2a30DoXe8/edit?usp=sharing"",""ภูเก็ต!J388"")"),0)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IFERROR(__xludf.DUMMYFUNCTION("IMPORTRANGE(""https://docs.google.com/spreadsheets/d/1IYY_tgx_IHuhSq3AJ5eI5OnqOPBNLWSHKh2a30DoXe8/edit?usp=sharing"",""ภูเก็ต!I395"")"),0)</f>
        <v>0</v>
      </c>
      <c r="J500" s="166">
        <f ca="1">IFERROR(__xludf.DUMMYFUNCTION("IMPORTRANGE(""https://docs.google.com/spreadsheets/d/1IYY_tgx_IHuhSq3AJ5eI5OnqOPBNLWSHKh2a30DoXe8/edit?usp=sharing"",""ภูเก็ต!J395"")"),0)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IFERROR(__xludf.DUMMYFUNCTION("IMPORTRANGE(""https://docs.google.com/spreadsheets/d/1IYY_tgx_IHuhSq3AJ5eI5OnqOPBNLWSHKh2a30DoXe8/edit?usp=sharing"",""ภูเก็ต!I396"")"),0)</f>
        <v>0</v>
      </c>
      <c r="J501" s="166">
        <f ca="1">IFERROR(__xludf.DUMMYFUNCTION("IMPORTRANGE(""https://docs.google.com/spreadsheets/d/1IYY_tgx_IHuhSq3AJ5eI5OnqOPBNLWSHKh2a30DoXe8/edit?usp=sharing"",""ภูเก็ต!J396"")"),0)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IFERROR(__xludf.DUMMYFUNCTION("IMPORTRANGE(""https://docs.google.com/spreadsheets/d/1IYY_tgx_IHuhSq3AJ5eI5OnqOPBNLWSHKh2a30DoXe8/edit?usp=sharing"",""ภูเก็ต!I397"")"),0)</f>
        <v>0</v>
      </c>
      <c r="J502" s="195">
        <f ca="1">IFERROR(__xludf.DUMMYFUNCTION("IMPORTRANGE(""https://docs.google.com/spreadsheets/d/1IYY_tgx_IHuhSq3AJ5eI5OnqOPBNLWSHKh2a30DoXe8/edit?usp=sharing"",""ภูเก็ต!J397"")"),0)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IFERROR(__xludf.DUMMYFUNCTION("IMPORTRANGE(""https://docs.google.com/spreadsheets/d/1IYY_tgx_IHuhSq3AJ5eI5OnqOPBNLWSHKh2a30DoXe8/edit?usp=sharing"",""ภูเก็ต!I398"")"),0)</f>
        <v>0</v>
      </c>
      <c r="J503" s="204">
        <f ca="1">IFERROR(__xludf.DUMMYFUNCTION("IMPORTRANGE(""https://docs.google.com/spreadsheets/d/1IYY_tgx_IHuhSq3AJ5eI5OnqOPBNLWSHKh2a30DoXe8/edit?usp=sharing"",""ภูเก็ต!J398"")"),0)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IFERROR(__xludf.DUMMYFUNCTION("IMPORTRANGE(""https://docs.google.com/spreadsheets/d/1IYY_tgx_IHuhSq3AJ5eI5OnqOPBNLWSHKh2a30DoXe8/edit?usp=sharing"",""ภูเก็ต!I399"")"),0)</f>
        <v>0</v>
      </c>
      <c r="J504" s="195">
        <f ca="1">IFERROR(__xludf.DUMMYFUNCTION("IMPORTRANGE(""https://docs.google.com/spreadsheets/d/1IYY_tgx_IHuhSq3AJ5eI5OnqOPBNLWSHKh2a30DoXe8/edit?usp=sharing"",""ภูเก็ต!J399"")"),0)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IFERROR(__xludf.DUMMYFUNCTION("IMPORTRANGE(""https://docs.google.com/spreadsheets/d/1IYY_tgx_IHuhSq3AJ5eI5OnqOPBNLWSHKh2a30DoXe8/edit?usp=sharing"",""ภูเก็ต!I400"")"),0)</f>
        <v>0</v>
      </c>
      <c r="J505" s="204">
        <f ca="1">IFERROR(__xludf.DUMMYFUNCTION("IMPORTRANGE(""https://docs.google.com/spreadsheets/d/1IYY_tgx_IHuhSq3AJ5eI5OnqOPBNLWSHKh2a30DoXe8/edit?usp=sharing"",""ภูเก็ต!J400"")"),0)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IFERROR(__xludf.DUMMYFUNCTION("IMPORTRANGE(""https://docs.google.com/spreadsheets/d/1IYY_tgx_IHuhSq3AJ5eI5OnqOPBNLWSHKh2a30DoXe8/edit?usp=sharing"",""ภูเก็ต!I401"")"),0)</f>
        <v>0</v>
      </c>
      <c r="J506" s="195">
        <f ca="1">IFERROR(__xludf.DUMMYFUNCTION("IMPORTRANGE(""https://docs.google.com/spreadsheets/d/1IYY_tgx_IHuhSq3AJ5eI5OnqOPBNLWSHKh2a30DoXe8/edit?usp=sharing"",""ภูเก็ต!J401"")"),0)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IFERROR(__xludf.DUMMYFUNCTION("IMPORTRANGE(""https://docs.google.com/spreadsheets/d/1IYY_tgx_IHuhSq3AJ5eI5OnqOPBNLWSHKh2a30DoXe8/edit?usp=sharing"",""ภูเก็ต!I402"")"),0)</f>
        <v>0</v>
      </c>
      <c r="J507" s="204">
        <f ca="1">IFERROR(__xludf.DUMMYFUNCTION("IMPORTRANGE(""https://docs.google.com/spreadsheets/d/1IYY_tgx_IHuhSq3AJ5eI5OnqOPBNLWSHKh2a30DoXe8/edit?usp=sharing"",""ภูเก็ต!J402"")"),0)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IFERROR(__xludf.DUMMYFUNCTION("IMPORTRANGE(""https://docs.google.com/spreadsheets/d/1IYY_tgx_IHuhSq3AJ5eI5OnqOPBNLWSHKh2a30DoXe8/edit?usp=sharing"",""ภูเก็ต!I403"")"),0)</f>
        <v>0</v>
      </c>
      <c r="J508" s="166">
        <f ca="1">IFERROR(__xludf.DUMMYFUNCTION("IMPORTRANGE(""https://docs.google.com/spreadsheets/d/1IYY_tgx_IHuhSq3AJ5eI5OnqOPBNLWSHKh2a30DoXe8/edit?usp=sharing"",""ภูเก็ต!J403"")"),0)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IFERROR(__xludf.DUMMYFUNCTION("IMPORTRANGE(""https://docs.google.com/spreadsheets/d/1IYY_tgx_IHuhSq3AJ5eI5OnqOPBNLWSHKh2a30DoXe8/edit?usp=sharing"",""ภูเก็ต!I404"")"),0)</f>
        <v>0</v>
      </c>
      <c r="J509" s="166">
        <f ca="1">IFERROR(__xludf.DUMMYFUNCTION("IMPORTRANGE(""https://docs.google.com/spreadsheets/d/1IYY_tgx_IHuhSq3AJ5eI5OnqOPBNLWSHKh2a30DoXe8/edit?usp=sharing"",""ภูเก็ต!J404"")"),0)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IFERROR(__xludf.DUMMYFUNCTION("IMPORTRANGE(""https://docs.google.com/spreadsheets/d/1IYY_tgx_IHuhSq3AJ5eI5OnqOPBNLWSHKh2a30DoXe8/edit?usp=sharing"",""ภูเก็ต!I405"")"),0)</f>
        <v>0</v>
      </c>
      <c r="J510" s="204">
        <f ca="1">IFERROR(__xludf.DUMMYFUNCTION("IMPORTRANGE(""https://docs.google.com/spreadsheets/d/1IYY_tgx_IHuhSq3AJ5eI5OnqOPBNLWSHKh2a30DoXe8/edit?usp=sharing"",""ภูเก็ต!J405"")"),0)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IFERROR(__xludf.DUMMYFUNCTION("IMPORTRANGE(""https://docs.google.com/spreadsheets/d/1IYY_tgx_IHuhSq3AJ5eI5OnqOPBNLWSHKh2a30DoXe8/edit?usp=sharing"",""ภูเก็ต!I406"")"),0)</f>
        <v>0</v>
      </c>
      <c r="J511" s="204">
        <f ca="1">IFERROR(__xludf.DUMMYFUNCTION("IMPORTRANGE(""https://docs.google.com/spreadsheets/d/1IYY_tgx_IHuhSq3AJ5eI5OnqOPBNLWSHKh2a30DoXe8/edit?usp=sharing"",""ภูเก็ต!J406"")"),0)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IFERROR(__xludf.DUMMYFUNCTION("IMPORTRANGE(""https://docs.google.com/spreadsheets/d/1IYY_tgx_IHuhSq3AJ5eI5OnqOPBNLWSHKh2a30DoXe8/edit?usp=sharing"",""ภูเก็ต!I407"")"),0)</f>
        <v>0</v>
      </c>
      <c r="J512" s="204">
        <f ca="1">IFERROR(__xludf.DUMMYFUNCTION("IMPORTRANGE(""https://docs.google.com/spreadsheets/d/1IYY_tgx_IHuhSq3AJ5eI5OnqOPBNLWSHKh2a30DoXe8/edit?usp=sharing"",""ภูเก็ต!J407"")"),0)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IFERROR(__xludf.DUMMYFUNCTION("IMPORTRANGE(""https://docs.google.com/spreadsheets/d/1IYY_tgx_IHuhSq3AJ5eI5OnqOPBNLWSHKh2a30DoXe8/edit?usp=sharing"",""ภูเก็ต!I408"")"),0)</f>
        <v>0</v>
      </c>
      <c r="J513" s="204">
        <f ca="1">IFERROR(__xludf.DUMMYFUNCTION("IMPORTRANGE(""https://docs.google.com/spreadsheets/d/1IYY_tgx_IHuhSq3AJ5eI5OnqOPBNLWSHKh2a30DoXe8/edit?usp=sharing"",""ภูเก็ต!J408"")"),0)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IFERROR(__xludf.DUMMYFUNCTION("IMPORTRANGE(""https://docs.google.com/spreadsheets/d/1IYY_tgx_IHuhSq3AJ5eI5OnqOPBNLWSHKh2a30DoXe8/edit?usp=sharing"",""ภูเก็ต!I409"")"),0)</f>
        <v>0</v>
      </c>
      <c r="J514" s="204">
        <f ca="1">IFERROR(__xludf.DUMMYFUNCTION("IMPORTRANGE(""https://docs.google.com/spreadsheets/d/1IYY_tgx_IHuhSq3AJ5eI5OnqOPBNLWSHKh2a30DoXe8/edit?usp=sharing"",""ภูเก็ต!J409"")"),0)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IFERROR(__xludf.DUMMYFUNCTION("IMPORTRANGE(""https://docs.google.com/spreadsheets/d/1IYY_tgx_IHuhSq3AJ5eI5OnqOPBNLWSHKh2a30DoXe8/edit?usp=sharing"",""ภูเก็ต!I410"")"),0)</f>
        <v>0</v>
      </c>
      <c r="J515" s="204">
        <f ca="1">IFERROR(__xludf.DUMMYFUNCTION("IMPORTRANGE(""https://docs.google.com/spreadsheets/d/1IYY_tgx_IHuhSq3AJ5eI5OnqOPBNLWSHKh2a30DoXe8/edit?usp=sharing"",""ภูเก็ต!J410"")"),0)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IFERROR(__xludf.DUMMYFUNCTION("IMPORTRANGE(""https://docs.google.com/spreadsheets/d/1IYY_tgx_IHuhSq3AJ5eI5OnqOPBNLWSHKh2a30DoXe8/edit?usp=sharing"",""ภูเก็ต!I411"")"),0)</f>
        <v>0</v>
      </c>
      <c r="J516" s="273">
        <f ca="1">IFERROR(__xludf.DUMMYFUNCTION("IMPORTRANGE(""https://docs.google.com/spreadsheets/d/1IYY_tgx_IHuhSq3AJ5eI5OnqOPBNLWSHKh2a30DoXe8/edit?usp=sharing"",""ภูเก็ต!J411"")"),0)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IFERROR(__xludf.DUMMYFUNCTION("IMPORTRANGE(""https://docs.google.com/spreadsheets/d/1IYY_tgx_IHuhSq3AJ5eI5OnqOPBNLWSHKh2a30DoXe8/edit?usp=sharing"",""ภูเก็ต!I414"")"),0)</f>
        <v>0</v>
      </c>
      <c r="J519" s="194">
        <f ca="1">IFERROR(__xludf.DUMMYFUNCTION("IMPORTRANGE(""https://docs.google.com/spreadsheets/d/1IYY_tgx_IHuhSq3AJ5eI5OnqOPBNLWSHKh2a30DoXe8/edit?usp=sharing"",""ภูเก็ต!J414"")"),0)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IFERROR(__xludf.DUMMYFUNCTION("IMPORTRANGE(""https://docs.google.com/spreadsheets/d/1IYY_tgx_IHuhSq3AJ5eI5OnqOPBNLWSHKh2a30DoXe8/edit?usp=sharing"",""ภูเก็ต!I415"")"),0)</f>
        <v>0</v>
      </c>
      <c r="J520" s="194">
        <f ca="1">IFERROR(__xludf.DUMMYFUNCTION("IMPORTRANGE(""https://docs.google.com/spreadsheets/d/1IYY_tgx_IHuhSq3AJ5eI5OnqOPBNLWSHKh2a30DoXe8/edit?usp=sharing"",""ภูเก็ต!J415"")"),0)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IFERROR(__xludf.DUMMYFUNCTION("IMPORTRANGE(""https://docs.google.com/spreadsheets/d/1IYY_tgx_IHuhSq3AJ5eI5OnqOPBNLWSHKh2a30DoXe8/edit?usp=sharing"",""ภูเก็ต!I416"")"),0)</f>
        <v>0</v>
      </c>
      <c r="J521" s="194">
        <f ca="1">IFERROR(__xludf.DUMMYFUNCTION("IMPORTRANGE(""https://docs.google.com/spreadsheets/d/1IYY_tgx_IHuhSq3AJ5eI5OnqOPBNLWSHKh2a30DoXe8/edit?usp=sharing"",""ภูเก็ต!J416"")"),0)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IFERROR(__xludf.DUMMYFUNCTION("IMPORTRANGE(""https://docs.google.com/spreadsheets/d/1IYY_tgx_IHuhSq3AJ5eI5OnqOPBNLWSHKh2a30DoXe8/edit?usp=sharing"",""ภูเก็ต!I417"")"),0)</f>
        <v>0</v>
      </c>
      <c r="J522" s="194">
        <f ca="1">IFERROR(__xludf.DUMMYFUNCTION("IMPORTRANGE(""https://docs.google.com/spreadsheets/d/1IYY_tgx_IHuhSq3AJ5eI5OnqOPBNLWSHKh2a30DoXe8/edit?usp=sharing"",""ภูเก็ต!J417"")"),0)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IFERROR(__xludf.DUMMYFUNCTION("IMPORTRANGE(""https://docs.google.com/spreadsheets/d/1IYY_tgx_IHuhSq3AJ5eI5OnqOPBNLWSHKh2a30DoXe8/edit?usp=sharing"",""ภูเก็ต!I418"")"),0)</f>
        <v>0</v>
      </c>
      <c r="J523" s="194">
        <f ca="1">IFERROR(__xludf.DUMMYFUNCTION("IMPORTRANGE(""https://docs.google.com/spreadsheets/d/1IYY_tgx_IHuhSq3AJ5eI5OnqOPBNLWSHKh2a30DoXe8/edit?usp=sharing"",""ภูเก็ต!J418"")"),0)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IFERROR(__xludf.DUMMYFUNCTION("IMPORTRANGE(""https://docs.google.com/spreadsheets/d/1IYY_tgx_IHuhSq3AJ5eI5OnqOPBNLWSHKh2a30DoXe8/edit?usp=sharing"",""ภูเก็ต!I419"")"),0)</f>
        <v>0</v>
      </c>
      <c r="J524" s="194">
        <f ca="1">IFERROR(__xludf.DUMMYFUNCTION("IMPORTRANGE(""https://docs.google.com/spreadsheets/d/1IYY_tgx_IHuhSq3AJ5eI5OnqOPBNLWSHKh2a30DoXe8/edit?usp=sharing"",""ภูเก็ต!J419"")"),0)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IFERROR(__xludf.DUMMYFUNCTION("IMPORTRANGE(""https://docs.google.com/spreadsheets/d/1IYY_tgx_IHuhSq3AJ5eI5OnqOPBNLWSHKh2a30DoXe8/edit?usp=sharing"",""ภูเก็ต!I422"")"),0)</f>
        <v>0</v>
      </c>
      <c r="J527" s="204">
        <f ca="1">IFERROR(__xludf.DUMMYFUNCTION("IMPORTRANGE(""https://docs.google.com/spreadsheets/d/1IYY_tgx_IHuhSq3AJ5eI5OnqOPBNLWSHKh2a30DoXe8/edit?usp=sharing"",""ภูเก็ต!J422"")"),0)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IFERROR(__xludf.DUMMYFUNCTION("IMPORTRANGE(""https://docs.google.com/spreadsheets/d/1IYY_tgx_IHuhSq3AJ5eI5OnqOPBNLWSHKh2a30DoXe8/edit?usp=sharing"",""ภูเก็ต!I423"")"),0)</f>
        <v>0</v>
      </c>
      <c r="J528" s="204">
        <f ca="1">IFERROR(__xludf.DUMMYFUNCTION("IMPORTRANGE(""https://docs.google.com/spreadsheets/d/1IYY_tgx_IHuhSq3AJ5eI5OnqOPBNLWSHKh2a30DoXe8/edit?usp=sharing"",""ภูเก็ต!J423"")"),0)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IFERROR(__xludf.DUMMYFUNCTION("IMPORTRANGE(""https://docs.google.com/spreadsheets/d/1IYY_tgx_IHuhSq3AJ5eI5OnqOPBNLWSHKh2a30DoXe8/edit?usp=sharing"",""ภูเก็ต!I424"")"),0)</f>
        <v>0</v>
      </c>
      <c r="J529" s="204">
        <f ca="1">IFERROR(__xludf.DUMMYFUNCTION("IMPORTRANGE(""https://docs.google.com/spreadsheets/d/1IYY_tgx_IHuhSq3AJ5eI5OnqOPBNLWSHKh2a30DoXe8/edit?usp=sharing"",""ภูเก็ต!J424"")"),0)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IFERROR(__xludf.DUMMYFUNCTION("IMPORTRANGE(""https://docs.google.com/spreadsheets/d/1IYY_tgx_IHuhSq3AJ5eI5OnqOPBNLWSHKh2a30DoXe8/edit?usp=sharing"",""ภูเก็ต!I425"")"),0)</f>
        <v>0</v>
      </c>
      <c r="J530" s="204">
        <f ca="1">IFERROR(__xludf.DUMMYFUNCTION("IMPORTRANGE(""https://docs.google.com/spreadsheets/d/1IYY_tgx_IHuhSq3AJ5eI5OnqOPBNLWSHKh2a30DoXe8/edit?usp=sharing"",""ภูเก็ต!J425"")"),0)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IFERROR(__xludf.DUMMYFUNCTION("IMPORTRANGE(""https://docs.google.com/spreadsheets/d/1IYY_tgx_IHuhSq3AJ5eI5OnqOPBNLWSHKh2a30DoXe8/edit?usp=sharing"",""ภูเก็ต!I426"")"),0)</f>
        <v>0</v>
      </c>
      <c r="J531" s="204">
        <f ca="1">IFERROR(__xludf.DUMMYFUNCTION("IMPORTRANGE(""https://docs.google.com/spreadsheets/d/1IYY_tgx_IHuhSq3AJ5eI5OnqOPBNLWSHKh2a30DoXe8/edit?usp=sharing"",""ภูเก็ต!J426"")"),0)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IFERROR(__xludf.DUMMYFUNCTION("IMPORTRANGE(""https://docs.google.com/spreadsheets/d/1IYY_tgx_IHuhSq3AJ5eI5OnqOPBNLWSHKh2a30DoXe8/edit?usp=sharing"",""ภูเก็ต!L428"")"),26700)</f>
        <v>26700</v>
      </c>
      <c r="M533" s="418"/>
      <c r="N533" s="418">
        <f ca="1">IFERROR(__xludf.DUMMYFUNCTION("IMPORTRANGE(""https://docs.google.com/spreadsheets/d/1IYY_tgx_IHuhSq3AJ5eI5OnqOPBNLWSHKh2a30DoXe8/edit?usp=sharing"",""ภูเก็ต!M428"")"),23790)</f>
        <v>23790</v>
      </c>
      <c r="O533" s="418">
        <f t="shared" ref="O533:O537" ca="1" si="118">+IF(L533&gt;0,N533*100/L533,0)</f>
        <v>89.101123595505612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IFERROR(__xludf.DUMMYFUNCTION("IMPORTRANGE(""https://docs.google.com/spreadsheets/d/1IYY_tgx_IHuhSq3AJ5eI5OnqOPBNLWSHKh2a30DoXe8/edit?usp=sharing"",""ภูเก็ต!L429"")"),0)</f>
        <v>0</v>
      </c>
      <c r="M534" s="168"/>
      <c r="N534" s="175">
        <f ca="1">IFERROR(__xludf.DUMMYFUNCTION("IMPORTRANGE(""https://docs.google.com/spreadsheets/d/1IYY_tgx_IHuhSq3AJ5eI5OnqOPBNLWSHKh2a30DoXe8/edit?usp=sharing"",""ภูเก็ต!M429"")"),0)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IFERROR(__xludf.DUMMYFUNCTION("IMPORTRANGE(""https://docs.google.com/spreadsheets/d/1IYY_tgx_IHuhSq3AJ5eI5OnqOPBNLWSHKh2a30DoXe8/edit?usp=sharing"",""ภูเก็ต!L430"")"),26700)</f>
        <v>26700</v>
      </c>
      <c r="M535" s="169"/>
      <c r="N535" s="175">
        <f ca="1">IFERROR(__xludf.DUMMYFUNCTION("IMPORTRANGE(""https://docs.google.com/spreadsheets/d/1IYY_tgx_IHuhSq3AJ5eI5OnqOPBNLWSHKh2a30DoXe8/edit?usp=sharing"",""ภูเก็ต!M430"")"),23790)</f>
        <v>23790</v>
      </c>
      <c r="O535" s="175">
        <f t="shared" ca="1" si="118"/>
        <v>89.101123595505612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IFERROR(__xludf.DUMMYFUNCTION("IMPORTRANGE(""https://docs.google.com/spreadsheets/d/1IYY_tgx_IHuhSq3AJ5eI5OnqOPBNLWSHKh2a30DoXe8/edit?usp=sharing"",""ภูเก็ต!L431"")"),0)</f>
        <v>0</v>
      </c>
      <c r="M536" s="175"/>
      <c r="N536" s="175">
        <f ca="1">IFERROR(__xludf.DUMMYFUNCTION("IMPORTRANGE(""https://docs.google.com/spreadsheets/d/1IYY_tgx_IHuhSq3AJ5eI5OnqOPBNLWSHKh2a30DoXe8/edit?usp=sharing"",""ภูเก็ต!M431"")"),0)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IFERROR(__xludf.DUMMYFUNCTION("IMPORTRANGE(""https://docs.google.com/spreadsheets/d/1IYY_tgx_IHuhSq3AJ5eI5OnqOPBNLWSHKh2a30DoXe8/edit?usp=sharing"",""ภูเก็ต!L432"")"),26700)</f>
        <v>26700</v>
      </c>
      <c r="M537" s="175"/>
      <c r="N537" s="175">
        <f ca="1">IFERROR(__xludf.DUMMYFUNCTION("IMPORTRANGE(""https://docs.google.com/spreadsheets/d/1IYY_tgx_IHuhSq3AJ5eI5OnqOPBNLWSHKh2a30DoXe8/edit?usp=sharing"",""ภูเก็ต!M432"")"),23790)</f>
        <v>23790</v>
      </c>
      <c r="O537" s="175">
        <f t="shared" ca="1" si="118"/>
        <v>89.101123595505612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IFERROR(__xludf.DUMMYFUNCTION("IMPORTRANGE(""https://docs.google.com/spreadsheets/d/1IYY_tgx_IHuhSq3AJ5eI5OnqOPBNLWSHKh2a30DoXe8/edit?usp=sharing"",""ภูเก็ต!M433"")"),11100)</f>
        <v>11100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IFERROR(__xludf.DUMMYFUNCTION("IMPORTRANGE(""https://docs.google.com/spreadsheets/d/1IYY_tgx_IHuhSq3AJ5eI5OnqOPBNLWSHKh2a30DoXe8/edit?usp=sharing"",""ภูเก็ต!M436"")"),12690)</f>
        <v>12690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IFERROR(__xludf.DUMMYFUNCTION("IMPORTRANGE(""https://docs.google.com/spreadsheets/d/1IYY_tgx_IHuhSq3AJ5eI5OnqOPBNLWSHKh2a30DoXe8/edit?usp=sharing"",""ภูเก็ต!J438"")"),0)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IFERROR(__xludf.DUMMYFUNCTION("IMPORTRANGE(""https://docs.google.com/spreadsheets/d/1IYY_tgx_IHuhSq3AJ5eI5OnqOPBNLWSHKh2a30DoXe8/edit?usp=sharing"",""ภูเก็ต!J439"")"),1)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IFERROR(__xludf.DUMMYFUNCTION("IMPORTRANGE(""https://docs.google.com/spreadsheets/d/1IYY_tgx_IHuhSq3AJ5eI5OnqOPBNLWSHKh2a30DoXe8/edit?usp=sharing"",""ภูเก็ต!J440"")"),1)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IFERROR(__xludf.DUMMYFUNCTION("IMPORTRANGE(""https://docs.google.com/spreadsheets/d/1IYY_tgx_IHuhSq3AJ5eI5OnqOPBNLWSHKh2a30DoXe8/edit?usp=sharing"",""ภูเก็ต!J441"")"),1)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IFERROR(__xludf.DUMMYFUNCTION("IMPORTRANGE(""https://docs.google.com/spreadsheets/d/1IYY_tgx_IHuhSq3AJ5eI5OnqOPBNLWSHKh2a30DoXe8/edit?usp=sharing"",""ภูเก็ต!I442"")"),13)</f>
        <v>13</v>
      </c>
      <c r="J547" s="195">
        <f ca="1">IFERROR(__xludf.DUMMYFUNCTION("IMPORTRANGE(""https://docs.google.com/spreadsheets/d/1IYY_tgx_IHuhSq3AJ5eI5OnqOPBNLWSHKh2a30DoXe8/edit?usp=sharing"",""ภูเก็ต!J442"")"),13)</f>
        <v>13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IFERROR(__xludf.DUMMYFUNCTION("IMPORTRANGE(""https://docs.google.com/spreadsheets/d/1IYY_tgx_IHuhSq3AJ5eI5OnqOPBNLWSHKh2a30DoXe8/edit?usp=sharing"",""ภูเก็ต!J166"")"),0)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IFERROR(__xludf.DUMMYFUNCTION("IMPORTRANGE(""https://docs.google.com/spreadsheets/d/1IYY_tgx_IHuhSq3AJ5eI5OnqOPBNLWSHKh2a30DoXe8/edit?usp=sharing"",""ภูเก็ต!J444"")"),0)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IFERROR(__xludf.DUMMYFUNCTION("IMPORTRANGE(""https://docs.google.com/spreadsheets/d/1IYY_tgx_IHuhSq3AJ5eI5OnqOPBNLWSHKh2a30DoXe8/edit?usp=sharing"",""ภูเก็ต!L447"")"),0)</f>
        <v>0</v>
      </c>
      <c r="M552" s="168"/>
      <c r="N552" s="175">
        <f ca="1">IFERROR(__xludf.DUMMYFUNCTION("IMPORTRANGE(""https://docs.google.com/spreadsheets/d/1IYY_tgx_IHuhSq3AJ5eI5OnqOPBNLWSHKh2a30DoXe8/edit?usp=sharing"",""ภูเก็ต!M447"")"),0)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5">
        <f ca="1">IFERROR(__xludf.DUMMYFUNCTION("IMPORTRANGE(""https://docs.google.com/spreadsheets/d/1IYY_tgx_IHuhSq3AJ5eI5OnqOPBNLWSHKh2a30DoXe8/edit?usp=sharing"",""ภูเก็ต!M448"")"),0)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IFERROR(__xludf.DUMMYFUNCTION("IMPORTRANGE(""https://docs.google.com/spreadsheets/d/1IYY_tgx_IHuhSq3AJ5eI5OnqOPBNLWSHKh2a30DoXe8/edit?usp=sharing"",""ภูเก็ต!L449"")"),0)</f>
        <v>0</v>
      </c>
      <c r="M554" s="175"/>
      <c r="N554" s="175">
        <f ca="1">IFERROR(__xludf.DUMMYFUNCTION("IMPORTRANGE(""https://docs.google.com/spreadsheets/d/1IYY_tgx_IHuhSq3AJ5eI5OnqOPBNLWSHKh2a30DoXe8/edit?usp=sharing"",""ภูเก็ต!M449"")"),0)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IFERROR(__xludf.DUMMYFUNCTION("IMPORTRANGE(""https://docs.google.com/spreadsheets/d/1IYY_tgx_IHuhSq3AJ5eI5OnqOPBNLWSHKh2a30DoXe8/edit?usp=sharing"",""ภูเก็ต!L450"")"),0)</f>
        <v>0</v>
      </c>
      <c r="M555" s="175"/>
      <c r="N555" s="175">
        <f ca="1">IFERROR(__xludf.DUMMYFUNCTION("IMPORTRANGE(""https://docs.google.com/spreadsheets/d/1IYY_tgx_IHuhSq3AJ5eI5OnqOPBNLWSHKh2a30DoXe8/edit?usp=sharing"",""ภูเก็ต!M450"")"),0)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IFERROR(__xludf.DUMMYFUNCTION("IMPORTRANGE(""https://docs.google.com/spreadsheets/d/1IYY_tgx_IHuhSq3AJ5eI5OnqOPBNLWSHKh2a30DoXe8/edit?usp=sharing"",""ภูเก็ต!M451"")"),0)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IFERROR(__xludf.DUMMYFUNCTION("IMPORTRANGE(""https://docs.google.com/spreadsheets/d/1IYY_tgx_IHuhSq3AJ5eI5OnqOPBNLWSHKh2a30DoXe8/edit?usp=sharing"",""ภูเก็ต!M452"")"),0)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IFERROR(__xludf.DUMMYFUNCTION("IMPORTRANGE(""https://docs.google.com/spreadsheets/d/1IYY_tgx_IHuhSq3AJ5eI5OnqOPBNLWSHKh2a30DoXe8/edit?usp=sharing"",""ภูเก็ต!M453"")"),0)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IFERROR(__xludf.DUMMYFUNCTION("IMPORTRANGE(""https://docs.google.com/spreadsheets/d/1IYY_tgx_IHuhSq3AJ5eI5OnqOPBNLWSHKh2a30DoXe8/edit?usp=sharing"",""ภูเก็ต!M454"")"),0)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IFERROR(__xludf.DUMMYFUNCTION("IMPORTRANGE(""https://docs.google.com/spreadsheets/d/1IYY_tgx_IHuhSq3AJ5eI5OnqOPBNLWSHKh2a30DoXe8/edit?usp=sharing"",""ภูเก็ต!I455"")"),0)</f>
        <v>0</v>
      </c>
      <c r="J560" s="166">
        <f ca="1">IFERROR(__xludf.DUMMYFUNCTION("IMPORTRANGE(""https://docs.google.com/spreadsheets/d/1IYY_tgx_IHuhSq3AJ5eI5OnqOPBNLWSHKh2a30DoXe8/edit?usp=sharing"",""ภูเก็ต!J455"")"),0)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IFERROR(__xludf.DUMMYFUNCTION("IMPORTRANGE(""https://docs.google.com/spreadsheets/d/1IYY_tgx_IHuhSq3AJ5eI5OnqOPBNLWSHKh2a30DoXe8/edit?usp=sharing"",""ภูเก็ต!I456"")"),0)</f>
        <v>0</v>
      </c>
      <c r="J561" s="210">
        <f ca="1">IFERROR(__xludf.DUMMYFUNCTION("IMPORTRANGE(""https://docs.google.com/spreadsheets/d/1IYY_tgx_IHuhSq3AJ5eI5OnqOPBNLWSHKh2a30DoXe8/edit?usp=sharing"",""ภูเก็ต!J456"")"),0)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IFERROR(__xludf.DUMMYFUNCTION("IMPORTRANGE(""https://docs.google.com/spreadsheets/d/1IYY_tgx_IHuhSq3AJ5eI5OnqOPBNLWSHKh2a30DoXe8/edit?usp=sharing"",""ภูเก็ต!J459"")"),192)</f>
        <v>192</v>
      </c>
      <c r="K564" s="378">
        <f ca="1">IF(I564&gt;0,J564*100/I564,0)</f>
        <v>384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IFERROR(__xludf.DUMMYFUNCTION("IMPORTRANGE(""https://docs.google.com/spreadsheets/d/1IYY_tgx_IHuhSq3AJ5eI5OnqOPBNLWSHKh2a30DoXe8/edit?usp=sharing"",""ภูเก็ต!M459"")"),96400)</f>
        <v>96400</v>
      </c>
      <c r="O564" s="379">
        <f t="shared" ref="O564:O568" ca="1" si="122">+IF(L564&gt;0,N564*100/L564,0)</f>
        <v>80.386924616410937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IFERROR(__xludf.DUMMYFUNCTION("IMPORTRANGE(""https://docs.google.com/spreadsheets/d/1IYY_tgx_IHuhSq3AJ5eI5OnqOPBNLWSHKh2a30DoXe8/edit?usp=sharing"",""ภูเก็ต!L460"")"),0)</f>
        <v>0</v>
      </c>
      <c r="M565" s="168"/>
      <c r="N565" s="175">
        <f ca="1">IFERROR(__xludf.DUMMYFUNCTION("IMPORTRANGE(""https://docs.google.com/spreadsheets/d/1IYY_tgx_IHuhSq3AJ5eI5OnqOPBNLWSHKh2a30DoXe8/edit?usp=sharing"",""ภูเก็ต!M460"")"),0)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5">
        <f ca="1">IFERROR(__xludf.DUMMYFUNCTION("IMPORTRANGE(""https://docs.google.com/spreadsheets/d/1IYY_tgx_IHuhSq3AJ5eI5OnqOPBNLWSHKh2a30DoXe8/edit?usp=sharing"",""ภูเก็ต!M461"")"),96400)</f>
        <v>96400</v>
      </c>
      <c r="O566" s="175">
        <f t="shared" ca="1" si="122"/>
        <v>80.386924616410937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IFERROR(__xludf.DUMMYFUNCTION("IMPORTRANGE(""https://docs.google.com/spreadsheets/d/1IYY_tgx_IHuhSq3AJ5eI5OnqOPBNLWSHKh2a30DoXe8/edit?usp=sharing"",""ภูเก็ต!L462"")"),0)</f>
        <v>0</v>
      </c>
      <c r="M567" s="175"/>
      <c r="N567" s="175">
        <f ca="1">IFERROR(__xludf.DUMMYFUNCTION("IMPORTRANGE(""https://docs.google.com/spreadsheets/d/1IYY_tgx_IHuhSq3AJ5eI5OnqOPBNLWSHKh2a30DoXe8/edit?usp=sharing"",""ภูเก็ต!M462"")"),0)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IFERROR(__xludf.DUMMYFUNCTION("IMPORTRANGE(""https://docs.google.com/spreadsheets/d/1IYY_tgx_IHuhSq3AJ5eI5OnqOPBNLWSHKh2a30DoXe8/edit?usp=sharing"",""ภูเก็ต!L463"")"),119920)</f>
        <v>119920</v>
      </c>
      <c r="M568" s="175"/>
      <c r="N568" s="175">
        <f ca="1">IFERROR(__xludf.DUMMYFUNCTION("IMPORTRANGE(""https://docs.google.com/spreadsheets/d/1IYY_tgx_IHuhSq3AJ5eI5OnqOPBNLWSHKh2a30DoXe8/edit?usp=sharing"",""ภูเก็ต!M463"")"),96400)</f>
        <v>96400</v>
      </c>
      <c r="O568" s="175">
        <f t="shared" ca="1" si="122"/>
        <v>80.386924616410937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IFERROR(__xludf.DUMMYFUNCTION("IMPORTRANGE(""https://docs.google.com/spreadsheets/d/1IYY_tgx_IHuhSq3AJ5eI5OnqOPBNLWSHKh2a30DoXe8/edit?usp=sharing"",""ภูเก็ต!M464"")"),0)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IFERROR(__xludf.DUMMYFUNCTION("IMPORTRANGE(""https://docs.google.com/spreadsheets/d/1IYY_tgx_IHuhSq3AJ5eI5OnqOPBNLWSHKh2a30DoXe8/edit?usp=sharing"",""ภูเก็ต!M465"")"),0)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IFERROR(__xludf.DUMMYFUNCTION("IMPORTRANGE(""https://docs.google.com/spreadsheets/d/1IYY_tgx_IHuhSq3AJ5eI5OnqOPBNLWSHKh2a30DoXe8/edit?usp=sharing"",""ภูเก็ต!M466"")"),95700)</f>
        <v>95700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IFERROR(__xludf.DUMMYFUNCTION("IMPORTRANGE(""https://docs.google.com/spreadsheets/d/1IYY_tgx_IHuhSq3AJ5eI5OnqOPBNLWSHKh2a30DoXe8/edit?usp=sharing"",""ภูเก็ต!M467"")"),700)</f>
        <v>700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IFERROR(__xludf.DUMMYFUNCTION("IMPORTRANGE(""https://docs.google.com/spreadsheets/d/1IYY_tgx_IHuhSq3AJ5eI5OnqOPBNLWSHKh2a30DoXe8/edit?usp=sharing"",""ภูเก็ต!J468"")"),192)</f>
        <v>192</v>
      </c>
      <c r="K573" s="208">
        <f ca="1">IF(I573&gt;0,J573*100/I573,0)</f>
        <v>384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IFERROR(__xludf.DUMMYFUNCTION("IMPORTRANGE(""https://docs.google.com/spreadsheets/d/1IYY_tgx_IHuhSq3AJ5eI5OnqOPBNLWSHKh2a30DoXe8/edit?usp=sharing"",""ภูเก็ต!I470"")"),0)</f>
        <v>0</v>
      </c>
      <c r="J575" s="204">
        <f ca="1">IFERROR(__xludf.DUMMYFUNCTION("IMPORTRANGE(""https://docs.google.com/spreadsheets/d/1IYY_tgx_IHuhSq3AJ5eI5OnqOPBNLWSHKh2a30DoXe8/edit?usp=sharing"",""ภูเก็ต!J470"")"),3)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IFERROR(__xludf.DUMMYFUNCTION("IMPORTRANGE(""https://docs.google.com/spreadsheets/d/1IYY_tgx_IHuhSq3AJ5eI5OnqOPBNLWSHKh2a30DoXe8/edit?usp=sharing"",""ภูเก็ต!I471"")"),0)</f>
        <v>0</v>
      </c>
      <c r="J576" s="204">
        <f ca="1">IFERROR(__xludf.DUMMYFUNCTION("IMPORTRANGE(""https://docs.google.com/spreadsheets/d/1IYY_tgx_IHuhSq3AJ5eI5OnqOPBNLWSHKh2a30DoXe8/edit?usp=sharing"",""ภูเก็ต!J471"")"),19)</f>
        <v>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IFERROR(__xludf.DUMMYFUNCTION("IMPORTRANGE(""https://docs.google.com/spreadsheets/d/1IYY_tgx_IHuhSq3AJ5eI5OnqOPBNLWSHKh2a30DoXe8/edit?usp=sharing"",""ภูเก็ต!I472"")"),0)</f>
        <v>0</v>
      </c>
      <c r="J577" s="195">
        <f ca="1">IFERROR(__xludf.DUMMYFUNCTION("IMPORTRANGE(""https://docs.google.com/spreadsheets/d/1IYY_tgx_IHuhSq3AJ5eI5OnqOPBNLWSHKh2a30DoXe8/edit?usp=sharing"",""ภูเก็ต!J472"")"),173)</f>
        <v>173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IFERROR(__xludf.DUMMYFUNCTION("IMPORTRANGE(""https://docs.google.com/spreadsheets/d/1IYY_tgx_IHuhSq3AJ5eI5OnqOPBNLWSHKh2a30DoXe8/edit?usp=sharing"",""ภูเก็ต!I473"")"),0)</f>
        <v>0</v>
      </c>
      <c r="J578" s="204">
        <f ca="1">IFERROR(__xludf.DUMMYFUNCTION("IMPORTRANGE(""https://docs.google.com/spreadsheets/d/1IYY_tgx_IHuhSq3AJ5eI5OnqOPBNLWSHKh2a30DoXe8/edit?usp=sharing"",""ภูเก็ต!J473"")"),0)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IFERROR(__xludf.DUMMYFUNCTION("IMPORTRANGE(""https://docs.google.com/spreadsheets/d/1IYY_tgx_IHuhSq3AJ5eI5OnqOPBNLWSHKh2a30DoXe8/edit?usp=sharing"",""ภูเก็ต!I474"")"),0)</f>
        <v>0</v>
      </c>
      <c r="J579" s="204">
        <f ca="1">IFERROR(__xludf.DUMMYFUNCTION("IMPORTRANGE(""https://docs.google.com/spreadsheets/d/1IYY_tgx_IHuhSq3AJ5eI5OnqOPBNLWSHKh2a30DoXe8/edit?usp=sharing"",""ภูเก็ต!J474"")"),0)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IFERROR(__xludf.DUMMYFUNCTION("IMPORTRANGE(""https://docs.google.com/spreadsheets/d/1IYY_tgx_IHuhSq3AJ5eI5OnqOPBNLWSHKh2a30DoXe8/edit?usp=sharing"",""ภูเก็ต!L476"")"),0)</f>
        <v>0</v>
      </c>
      <c r="M581" s="168"/>
      <c r="N581" s="175">
        <f ca="1">IFERROR(__xludf.DUMMYFUNCTION("IMPORTRANGE(""https://docs.google.com/spreadsheets/d/1IYY_tgx_IHuhSq3AJ5eI5OnqOPBNLWSHKh2a30DoXe8/edit?usp=sharing"",""ภูเก็ต!M476"")"),0)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5">
        <f ca="1">IFERROR(__xludf.DUMMYFUNCTION("IMPORTRANGE(""https://docs.google.com/spreadsheets/d/1IYY_tgx_IHuhSq3AJ5eI5OnqOPBNLWSHKh2a30DoXe8/edit?usp=sharing"",""ภูเก็ต!M477"")"),0)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IFERROR(__xludf.DUMMYFUNCTION("IMPORTRANGE(""https://docs.google.com/spreadsheets/d/1IYY_tgx_IHuhSq3AJ5eI5OnqOPBNLWSHKh2a30DoXe8/edit?usp=sharing"",""ภูเก็ต!L478"")"),0)</f>
        <v>0</v>
      </c>
      <c r="M583" s="175"/>
      <c r="N583" s="175">
        <f ca="1">IFERROR(__xludf.DUMMYFUNCTION("IMPORTRANGE(""https://docs.google.com/spreadsheets/d/1IYY_tgx_IHuhSq3AJ5eI5OnqOPBNLWSHKh2a30DoXe8/edit?usp=sharing"",""ภูเก็ต!M478"")"),0)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IFERROR(__xludf.DUMMYFUNCTION("IMPORTRANGE(""https://docs.google.com/spreadsheets/d/1IYY_tgx_IHuhSq3AJ5eI5OnqOPBNLWSHKh2a30DoXe8/edit?usp=sharing"",""ภูเก็ต!L479"")"),0)</f>
        <v>0</v>
      </c>
      <c r="M584" s="175"/>
      <c r="N584" s="175">
        <f ca="1">IFERROR(__xludf.DUMMYFUNCTION("IMPORTRANGE(""https://docs.google.com/spreadsheets/d/1IYY_tgx_IHuhSq3AJ5eI5OnqOPBNLWSHKh2a30DoXe8/edit?usp=sharing"",""ภูเก็ต!M479"")"),0)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IFERROR(__xludf.DUMMYFUNCTION("IMPORTRANGE(""https://docs.google.com/spreadsheets/d/1IYY_tgx_IHuhSq3AJ5eI5OnqOPBNLWSHKh2a30DoXe8/edit?usp=sharing"",""ภูเก็ต!M480"")"),0)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IFERROR(__xludf.DUMMYFUNCTION("IMPORTRANGE(""https://docs.google.com/spreadsheets/d/1IYY_tgx_IHuhSq3AJ5eI5OnqOPBNLWSHKh2a30DoXe8/edit?usp=sharing"",""ภูเก็ต!M481"")"),0)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IFERROR(__xludf.DUMMYFUNCTION("IMPORTRANGE(""https://docs.google.com/spreadsheets/d/1IYY_tgx_IHuhSq3AJ5eI5OnqOPBNLWSHKh2a30DoXe8/edit?usp=sharing"",""ภูเก็ต!M482"")"),0)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IFERROR(__xludf.DUMMYFUNCTION("IMPORTRANGE(""https://docs.google.com/spreadsheets/d/1IYY_tgx_IHuhSq3AJ5eI5OnqOPBNLWSHKh2a30DoXe8/edit?usp=sharing"",""ภูเก็ต!M483"")"),0)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4">
        <f ca="1">IFERROR(__xludf.DUMMYFUNCTION("IMPORTRANGE(""https://docs.google.com/spreadsheets/d/1IYY_tgx_IHuhSq3AJ5eI5OnqOPBNLWSHKh2a30DoXe8/edit?usp=sharing"",""ภูเก็ต!J484"")"),0)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4">
        <f ca="1">IFERROR(__xludf.DUMMYFUNCTION("IMPORTRANGE(""https://docs.google.com/spreadsheets/d/1IYY_tgx_IHuhSq3AJ5eI5OnqOPBNLWSHKh2a30DoXe8/edit?usp=sharing"",""ภูเก็ต!J485"")"),0)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4">
        <f ca="1">IFERROR(__xludf.DUMMYFUNCTION("IMPORTRANGE(""https://docs.google.com/spreadsheets/d/1IYY_tgx_IHuhSq3AJ5eI5OnqOPBNLWSHKh2a30DoXe8/edit?usp=sharing"",""ภูเก็ต!J486"")"),0)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4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4">
        <f ca="1">IFERROR(__xludf.DUMMYFUNCTION("IMPORTRANGE(""https://docs.google.com/spreadsheets/d/1IYY_tgx_IHuhSq3AJ5eI5OnqOPBNLWSHKh2a30DoXe8/edit?usp=sharing"",""ภูเก็ต!J488"")"),0)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4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4">
        <f ca="1">IFERROR(__xludf.DUMMYFUNCTION("IMPORTRANGE(""https://docs.google.com/spreadsheets/d/1IYY_tgx_IHuhSq3AJ5eI5OnqOPBNLWSHKh2a30DoXe8/edit?usp=sharing"",""ภูเก็ต!J490"")"),0)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IFERROR(__xludf.DUMMYFUNCTION("IMPORTRANGE(""https://docs.google.com/spreadsheets/d/1IYY_tgx_IHuhSq3AJ5eI5OnqOPBNLWSHKh2a30DoXe8/edit?usp=sharing"",""ภูเก็ต!I491"")"),0)</f>
        <v>0</v>
      </c>
      <c r="J596" s="247">
        <f ca="1">IFERROR(__xludf.DUMMYFUNCTION("IMPORTRANGE(""https://docs.google.com/spreadsheets/d/1IYY_tgx_IHuhSq3AJ5eI5OnqOPBNLWSHKh2a30DoXe8/edit?usp=sharing"",""ภูเก็ต!J491"")"),0)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4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IFERROR(__xludf.DUMMYFUNCTION("IMPORTRANGE(""https://docs.google.com/spreadsheets/d/1IYY_tgx_IHuhSq3AJ5eI5OnqOPBNLWSHKh2a30DoXe8/edit?usp=sharing"",""ภูเก็ต!L492"")"),7300)</f>
        <v>7300</v>
      </c>
      <c r="M597" s="418"/>
      <c r="N597" s="418">
        <f ca="1">IFERROR(__xludf.DUMMYFUNCTION("IMPORTRANGE(""https://docs.google.com/spreadsheets/d/1IYY_tgx_IHuhSq3AJ5eI5OnqOPBNLWSHKh2a30DoXe8/edit?usp=sharing"",""ภูเก็ต!M492"")"),1800)</f>
        <v>1800</v>
      </c>
      <c r="O597" s="418">
        <f t="shared" ref="O597:O601" ca="1" si="126">+IF(L597&gt;0,N597*100/L597,0)</f>
        <v>24.657534246575342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IFERROR(__xludf.DUMMYFUNCTION("IMPORTRANGE(""https://docs.google.com/spreadsheets/d/1IYY_tgx_IHuhSq3AJ5eI5OnqOPBNLWSHKh2a30DoXe8/edit?usp=sharing"",""ภูเก็ต!L493"")"),0)</f>
        <v>0</v>
      </c>
      <c r="M598" s="168"/>
      <c r="N598" s="175">
        <f ca="1">IFERROR(__xludf.DUMMYFUNCTION("IMPORTRANGE(""https://docs.google.com/spreadsheets/d/1IYY_tgx_IHuhSq3AJ5eI5OnqOPBNLWSHKh2a30DoXe8/edit?usp=sharing"",""ภูเก็ต!M493"")"),0)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IFERROR(__xludf.DUMMYFUNCTION("IMPORTRANGE(""https://docs.google.com/spreadsheets/d/1IYY_tgx_IHuhSq3AJ5eI5OnqOPBNLWSHKh2a30DoXe8/edit?usp=sharing"",""ภูเก็ต!L494"")"),7300)</f>
        <v>7300</v>
      </c>
      <c r="M599" s="169"/>
      <c r="N599" s="175">
        <f ca="1">IFERROR(__xludf.DUMMYFUNCTION("IMPORTRANGE(""https://docs.google.com/spreadsheets/d/1IYY_tgx_IHuhSq3AJ5eI5OnqOPBNLWSHKh2a30DoXe8/edit?usp=sharing"",""ภูเก็ต!M494"")"),1800)</f>
        <v>1800</v>
      </c>
      <c r="O599" s="175">
        <f t="shared" ca="1" si="126"/>
        <v>24.657534246575342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IFERROR(__xludf.DUMMYFUNCTION("IMPORTRANGE(""https://docs.google.com/spreadsheets/d/1IYY_tgx_IHuhSq3AJ5eI5OnqOPBNLWSHKh2a30DoXe8/edit?usp=sharing"",""ภูเก็ต!L495"")"),0)</f>
        <v>0</v>
      </c>
      <c r="M600" s="175"/>
      <c r="N600" s="175">
        <f ca="1">IFERROR(__xludf.DUMMYFUNCTION("IMPORTRANGE(""https://docs.google.com/spreadsheets/d/1IYY_tgx_IHuhSq3AJ5eI5OnqOPBNLWSHKh2a30DoXe8/edit?usp=sharing"",""ภูเก็ต!M495"")"),0)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IFERROR(__xludf.DUMMYFUNCTION("IMPORTRANGE(""https://docs.google.com/spreadsheets/d/1IYY_tgx_IHuhSq3AJ5eI5OnqOPBNLWSHKh2a30DoXe8/edit?usp=sharing"",""ภูเก็ต!L496"")"),7300)</f>
        <v>7300</v>
      </c>
      <c r="M601" s="175"/>
      <c r="N601" s="175">
        <f ca="1">IFERROR(__xludf.DUMMYFUNCTION("IMPORTRANGE(""https://docs.google.com/spreadsheets/d/1IYY_tgx_IHuhSq3AJ5eI5OnqOPBNLWSHKh2a30DoXe8/edit?usp=sharing"",""ภูเก็ต!M496"")"),1800)</f>
        <v>1800</v>
      </c>
      <c r="O601" s="175">
        <f t="shared" ca="1" si="126"/>
        <v>24.657534246575342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IFERROR(__xludf.DUMMYFUNCTION("IMPORTRANGE(""https://docs.google.com/spreadsheets/d/1IYY_tgx_IHuhSq3AJ5eI5OnqOPBNLWSHKh2a30DoXe8/edit?usp=sharing"",""ภูเก็ต!M497"")"),0)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IFERROR(__xludf.DUMMYFUNCTION("IMPORTRANGE(""https://docs.google.com/spreadsheets/d/1IYY_tgx_IHuhSq3AJ5eI5OnqOPBNLWSHKh2a30DoXe8/edit?usp=sharing"",""ภูเก็ต!M498"")"),0)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IFERROR(__xludf.DUMMYFUNCTION("IMPORTRANGE(""https://docs.google.com/spreadsheets/d/1IYY_tgx_IHuhSq3AJ5eI5OnqOPBNLWSHKh2a30DoXe8/edit?usp=sharing"",""ภูเก็ต!M500"")"),1800)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IFERROR(__xludf.DUMMYFUNCTION("IMPORTRANGE(""https://docs.google.com/spreadsheets/d/1IYY_tgx_IHuhSq3AJ5eI5OnqOPBNLWSHKh2a30DoXe8/edit?usp=sharing"",""ภูเก็ต!J502"")"),0)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IFERROR(__xludf.DUMMYFUNCTION("IMPORTRANGE(""https://docs.google.com/spreadsheets/d/1IYY_tgx_IHuhSq3AJ5eI5OnqOPBNLWSHKh2a30DoXe8/edit?usp=sharing"",""ภูเก็ต!J503"")"),1)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IFERROR(__xludf.DUMMYFUNCTION("IMPORTRANGE(""https://docs.google.com/spreadsheets/d/1IYY_tgx_IHuhSq3AJ5eI5OnqOPBNLWSHKh2a30DoXe8/edit?usp=sharing"",""ภูเก็ต!J166"")"),0)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IFERROR(__xludf.DUMMYFUNCTION("IMPORTRANGE(""https://docs.google.com/spreadsheets/d/1IYY_tgx_IHuhSq3AJ5eI5OnqOPBNLWSHKh2a30DoXe8/edit?usp=sharing"",""ภูเก็ต!J166"")"),0)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IFERROR(__xludf.DUMMYFUNCTION("IMPORTRANGE(""https://docs.google.com/spreadsheets/d/1IYY_tgx_IHuhSq3AJ5eI5OnqOPBNLWSHKh2a30DoXe8/edit?usp=sharing"",""ภูเก็ต!I506"")"),100)</f>
        <v>100</v>
      </c>
      <c r="J611" s="166">
        <f ca="1">IFERROR(__xludf.DUMMYFUNCTION("IMPORTRANGE(""https://docs.google.com/spreadsheets/d/1IYY_tgx_IHuhSq3AJ5eI5OnqOPBNLWSHKh2a30DoXe8/edit?usp=sharing"",""ภูเก็ต!J506"")"),0)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IFERROR(__xludf.DUMMYFUNCTION("IMPORTRANGE(""https://docs.google.com/spreadsheets/d/1IYY_tgx_IHuhSq3AJ5eI5OnqOPBNLWSHKh2a30DoXe8/edit?usp=sharing"",""ภูเก็ต!I507"")"),0)</f>
        <v>0</v>
      </c>
      <c r="J612" s="204">
        <f ca="1">IFERROR(__xludf.DUMMYFUNCTION("IMPORTRANGE(""https://docs.google.com/spreadsheets/d/1IYY_tgx_IHuhSq3AJ5eI5OnqOPBNLWSHKh2a30DoXe8/edit?usp=sharing"",""ภูเก็ต!J507"")"),0)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IFERROR(__xludf.DUMMYFUNCTION("IMPORTRANGE(""https://docs.google.com/spreadsheets/d/1IYY_tgx_IHuhSq3AJ5eI5OnqOPBNLWSHKh2a30DoXe8/edit?usp=sharing"",""ภูเก็ต!I508"")"),0)</f>
        <v>0</v>
      </c>
      <c r="J613" s="204">
        <f ca="1">IFERROR(__xludf.DUMMYFUNCTION("IMPORTRANGE(""https://docs.google.com/spreadsheets/d/1IYY_tgx_IHuhSq3AJ5eI5OnqOPBNLWSHKh2a30DoXe8/edit?usp=sharing"",""ภูเก็ต!J508"")"),0)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IFERROR(__xludf.DUMMYFUNCTION("IMPORTRANGE(""https://docs.google.com/spreadsheets/d/1IYY_tgx_IHuhSq3AJ5eI5OnqOPBNLWSHKh2a30DoXe8/edit?usp=sharing"",""ภูเก็ต!I509"")"),0)</f>
        <v>0</v>
      </c>
      <c r="J614" s="204">
        <f ca="1">IFERROR(__xludf.DUMMYFUNCTION("IMPORTRANGE(""https://docs.google.com/spreadsheets/d/1IYY_tgx_IHuhSq3AJ5eI5OnqOPBNLWSHKh2a30DoXe8/edit?usp=sharing"",""ภูเก็ต!J509"")"),0)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IFERROR(__xludf.DUMMYFUNCTION("IMPORTRANGE(""https://docs.google.com/spreadsheets/d/1IYY_tgx_IHuhSq3AJ5eI5OnqOPBNLWSHKh2a30DoXe8/edit?usp=sharing"",""ภูเก็ต!I510"")"),0)</f>
        <v>0</v>
      </c>
      <c r="J615" s="204">
        <f ca="1">IFERROR(__xludf.DUMMYFUNCTION("IMPORTRANGE(""https://docs.google.com/spreadsheets/d/1IYY_tgx_IHuhSq3AJ5eI5OnqOPBNLWSHKh2a30DoXe8/edit?usp=sharing"",""ภูเก็ต!J510"")"),0)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IFERROR(__xludf.DUMMYFUNCTION("IMPORTRANGE(""https://docs.google.com/spreadsheets/d/1IYY_tgx_IHuhSq3AJ5eI5OnqOPBNLWSHKh2a30DoXe8/edit?usp=sharing"",""ภูเก็ต!I511"")"),0)</f>
        <v>0</v>
      </c>
      <c r="J616" s="204">
        <f ca="1">IFERROR(__xludf.DUMMYFUNCTION("IMPORTRANGE(""https://docs.google.com/spreadsheets/d/1IYY_tgx_IHuhSq3AJ5eI5OnqOPBNLWSHKh2a30DoXe8/edit?usp=sharing"",""ภูเก็ต!J511"")"),0)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IFERROR(__xludf.DUMMYFUNCTION("IMPORTRANGE(""https://docs.google.com/spreadsheets/d/1IYY_tgx_IHuhSq3AJ5eI5OnqOPBNLWSHKh2a30DoXe8/edit?usp=sharing"",""ภูเก็ต!I512"")"),0)</f>
        <v>0</v>
      </c>
      <c r="J617" s="194">
        <f ca="1">IFERROR(__xludf.DUMMYFUNCTION("IMPORTRANGE(""https://docs.google.com/spreadsheets/d/1IYY_tgx_IHuhSq3AJ5eI5OnqOPBNLWSHKh2a30DoXe8/edit?usp=sharing"",""ภูเก็ต!J512"")"),0)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IFERROR(__xludf.DUMMYFUNCTION("IMPORTRANGE(""https://docs.google.com/spreadsheets/d/1IYY_tgx_IHuhSq3AJ5eI5OnqOPBNLWSHKh2a30DoXe8/edit?usp=sharing"",""ภูเก็ต!I513"")"),0)</f>
        <v>0</v>
      </c>
      <c r="J618" s="195">
        <f ca="1">IFERROR(__xludf.DUMMYFUNCTION("IMPORTRANGE(""https://docs.google.com/spreadsheets/d/1IYY_tgx_IHuhSq3AJ5eI5OnqOPBNLWSHKh2a30DoXe8/edit?usp=sharing"",""ภูเก็ต!J513"")"),0)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IFERROR(__xludf.DUMMYFUNCTION("IMPORTRANGE(""https://docs.google.com/spreadsheets/d/1IYY_tgx_IHuhSq3AJ5eI5OnqOPBNLWSHKh2a30DoXe8/edit?usp=sharing"",""ภูเก็ต!I514"")"),0)</f>
        <v>0</v>
      </c>
      <c r="J619" s="195">
        <f ca="1">IFERROR(__xludf.DUMMYFUNCTION("IMPORTRANGE(""https://docs.google.com/spreadsheets/d/1IYY_tgx_IHuhSq3AJ5eI5OnqOPBNLWSHKh2a30DoXe8/edit?usp=sharing"",""ภูเก็ต!J514"")"),0)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IFERROR(__xludf.DUMMYFUNCTION("IMPORTRANGE(""https://docs.google.com/spreadsheets/d/1IYY_tgx_IHuhSq3AJ5eI5OnqOPBNLWSHKh2a30DoXe8/edit?usp=sharing"",""ภูเก็ต!I515"")"),0)</f>
        <v>0</v>
      </c>
      <c r="J620" s="209">
        <f ca="1">IFERROR(__xludf.DUMMYFUNCTION("IMPORTRANGE(""https://docs.google.com/spreadsheets/d/1IYY_tgx_IHuhSq3AJ5eI5OnqOPBNLWSHKh2a30DoXe8/edit?usp=sharing"",""ภูเก็ต!J515"")"),0)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IFERROR(__xludf.DUMMYFUNCTION("IMPORTRANGE(""https://docs.google.com/spreadsheets/d/1IYY_tgx_IHuhSq3AJ5eI5OnqOPBNLWSHKh2a30DoXe8/edit?usp=sharing"",""ภูเก็ต!I516"")"),0)</f>
        <v>0</v>
      </c>
      <c r="J621" s="209">
        <f ca="1">IFERROR(__xludf.DUMMYFUNCTION("IMPORTRANGE(""https://docs.google.com/spreadsheets/d/1IYY_tgx_IHuhSq3AJ5eI5OnqOPBNLWSHKh2a30DoXe8/edit?usp=sharing"",""ภูเก็ต!J516"")"),0)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IFERROR(__xludf.DUMMYFUNCTION("IMPORTRANGE(""https://docs.google.com/spreadsheets/d/1IYY_tgx_IHuhSq3AJ5eI5OnqOPBNLWSHKh2a30DoXe8/edit?usp=sharing"",""ภูเก็ต!I517"")"),0)</f>
        <v>0</v>
      </c>
      <c r="J622" s="195">
        <f ca="1">IFERROR(__xludf.DUMMYFUNCTION("IMPORTRANGE(""https://docs.google.com/spreadsheets/d/1IYY_tgx_IHuhSq3AJ5eI5OnqOPBNLWSHKh2a30DoXe8/edit?usp=sharing"",""ภูเก็ต!J517"")"),0)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IFERROR(__xludf.DUMMYFUNCTION("IMPORTRANGE(""https://docs.google.com/spreadsheets/d/1IYY_tgx_IHuhSq3AJ5eI5OnqOPBNLWSHKh2a30DoXe8/edit?usp=sharing"",""ภูเก็ต!I518"")"),0)</f>
        <v>0</v>
      </c>
      <c r="J623" s="195">
        <f ca="1">IFERROR(__xludf.DUMMYFUNCTION("IMPORTRANGE(""https://docs.google.com/spreadsheets/d/1IYY_tgx_IHuhSq3AJ5eI5OnqOPBNLWSHKh2a30DoXe8/edit?usp=sharing"",""ภูเก็ต!J518"")"),0)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IFERROR(__xludf.DUMMYFUNCTION("IMPORTRANGE(""https://docs.google.com/spreadsheets/d/1IYY_tgx_IHuhSq3AJ5eI5OnqOPBNLWSHKh2a30DoXe8/edit?usp=sharing"",""ภูเก็ต!I519"")"),0)</f>
        <v>0</v>
      </c>
      <c r="J624" s="194">
        <f ca="1">IFERROR(__xludf.DUMMYFUNCTION("IMPORTRANGE(""https://docs.google.com/spreadsheets/d/1IYY_tgx_IHuhSq3AJ5eI5OnqOPBNLWSHKh2a30DoXe8/edit?usp=sharing"",""ภูเก็ต!J519"")"),0)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IFERROR(__xludf.DUMMYFUNCTION("IMPORTRANGE(""https://docs.google.com/spreadsheets/d/1IYY_tgx_IHuhSq3AJ5eI5OnqOPBNLWSHKh2a30DoXe8/edit?usp=sharing"",""ภูเก็ต!I520"")"),0)</f>
        <v>0</v>
      </c>
      <c r="J625" s="195">
        <f ca="1">IFERROR(__xludf.DUMMYFUNCTION("IMPORTRANGE(""https://docs.google.com/spreadsheets/d/1IYY_tgx_IHuhSq3AJ5eI5OnqOPBNLWSHKh2a30DoXe8/edit?usp=sharing"",""ภูเก็ต!J520"")"),0)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IFERROR(__xludf.DUMMYFUNCTION("IMPORTRANGE(""https://docs.google.com/spreadsheets/d/1IYY_tgx_IHuhSq3AJ5eI5OnqOPBNLWSHKh2a30DoXe8/edit?usp=sharing"",""ภูเก็ต!I521"")"),0)</f>
        <v>0</v>
      </c>
      <c r="J626" s="195">
        <f ca="1">IFERROR(__xludf.DUMMYFUNCTION("IMPORTRANGE(""https://docs.google.com/spreadsheets/d/1IYY_tgx_IHuhSq3AJ5eI5OnqOPBNLWSHKh2a30DoXe8/edit?usp=sharing"",""ภูเก็ต!J521"")"),0)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IFERROR(__xludf.DUMMYFUNCTION("IMPORTRANGE(""https://docs.google.com/spreadsheets/d/1IYY_tgx_IHuhSq3AJ5eI5OnqOPBNLWSHKh2a30DoXe8/edit?usp=sharing"",""ภูเก็ต!I523"")"),617119.4)</f>
        <v>617119.4</v>
      </c>
      <c r="J628" s="347">
        <f ca="1">IFERROR(__xludf.DUMMYFUNCTION("IMPORTRANGE(""https://docs.google.com/spreadsheets/d/1IYY_tgx_IHuhSq3AJ5eI5OnqOPBNLWSHKh2a30DoXe8/edit?usp=sharing"",""ภูเก็ต!J523"")"),533069.37)</f>
        <v>533069.37</v>
      </c>
      <c r="K628" s="348">
        <f t="shared" ref="K628:K635" ca="1" si="129">IF(I628&gt;0,J628*100/I628,0)</f>
        <v>86.380264499868261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IFERROR(__xludf.DUMMYFUNCTION("IMPORTRANGE(""https://docs.google.com/spreadsheets/d/1IYY_tgx_IHuhSq3AJ5eI5OnqOPBNLWSHKh2a30DoXe8/edit?usp=sharing"",""ภูเก็ต!I524"")"),33)</f>
        <v>33</v>
      </c>
      <c r="J629" s="347">
        <f ca="1">IFERROR(__xludf.DUMMYFUNCTION("IMPORTRANGE(""https://docs.google.com/spreadsheets/d/1IYY_tgx_IHuhSq3AJ5eI5OnqOPBNLWSHKh2a30DoXe8/edit?usp=sharing"",""ภูเก็ต!J524"")"),28)</f>
        <v>28</v>
      </c>
      <c r="K629" s="348">
        <f t="shared" ca="1" si="129"/>
        <v>84.848484848484844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IFERROR(__xludf.DUMMYFUNCTION("IMPORTRANGE(""https://docs.google.com/spreadsheets/d/1IYY_tgx_IHuhSq3AJ5eI5OnqOPBNLWSHKh2a30DoXe8/edit?usp=sharing"",""ภูเก็ต!I529"")"),650000)</f>
        <v>650000</v>
      </c>
      <c r="J634" s="347">
        <f ca="1">IFERROR(__xludf.DUMMYFUNCTION("IMPORTRANGE(""https://docs.google.com/spreadsheets/d/1IYY_tgx_IHuhSq3AJ5eI5OnqOPBNLWSHKh2a30DoXe8/edit?usp=sharing"",""ภูเก็ต!J529"")"),300000)</f>
        <v>300000</v>
      </c>
      <c r="K634" s="348">
        <f t="shared" ca="1" si="129"/>
        <v>46.153846153846153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IFERROR(__xludf.DUMMYFUNCTION("IMPORTRANGE(""https://docs.google.com/spreadsheets/d/1IYY_tgx_IHuhSq3AJ5eI5OnqOPBNLWSHKh2a30DoXe8/edit?usp=sharing"",""ภูเก็ต!I530"")"),13)</f>
        <v>13</v>
      </c>
      <c r="J635" s="518">
        <f ca="1">IFERROR(__xludf.DUMMYFUNCTION("IMPORTRANGE(""https://docs.google.com/spreadsheets/d/1IYY_tgx_IHuhSq3AJ5eI5OnqOPBNLWSHKh2a30DoXe8/edit?usp=sharing"",""ภูเก็ต!J530"")"),6)</f>
        <v>6</v>
      </c>
      <c r="K635" s="493">
        <f t="shared" ca="1" si="129"/>
        <v>46.153846153846153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IFERROR(__xludf.DUMMYFUNCTION("IMPORTRANGE(""https://docs.google.com/spreadsheets/d/1IYY_tgx_IHuhSq3AJ5eI5OnqOPBNLWSHKh2a30DoXe8/edit?usp=sharing"",""ภูเก็ต!J541"")"),0)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IFERROR(__xludf.DUMMYFUNCTION("IMPORTRANGE(""https://docs.google.com/spreadsheets/d/1IYY_tgx_IHuhSq3AJ5eI5OnqOPBNLWSHKh2a30DoXe8/edit?usp=sharing"",""ภูเก็ต!J542"")"),0)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IFERROR(__xludf.DUMMYFUNCTION("IMPORTRANGE(""https://docs.google.com/spreadsheets/d/1IYY_tgx_IHuhSq3AJ5eI5OnqOPBNLWSHKh2a30DoXe8/edit?usp=sharing"",""ภูเก็ต!I543"")"),0)</f>
        <v>0</v>
      </c>
      <c r="J648" s="547">
        <f ca="1">IFERROR(__xludf.DUMMYFUNCTION("IMPORTRANGE(""https://docs.google.com/spreadsheets/d/1IYY_tgx_IHuhSq3AJ5eI5OnqOPBNLWSHKh2a30DoXe8/edit?usp=sharing"",""ภูเก็ต!J543"")"),0)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IFERROR(__xludf.DUMMYFUNCTION("IMPORTRANGE(""https://docs.google.com/spreadsheets/d/1IYY_tgx_IHuhSq3AJ5eI5OnqOPBNLWSHKh2a30DoXe8/edit?usp=sharing"",""ภูเก็ต!L543"")"),0)</f>
        <v>0</v>
      </c>
      <c r="M648" s="534"/>
      <c r="N648" s="549">
        <f ca="1">IFERROR(__xludf.DUMMYFUNCTION("IMPORTRANGE(""https://docs.google.com/spreadsheets/d/1IYY_tgx_IHuhSq3AJ5eI5OnqOPBNLWSHKh2a30DoXe8/edit?usp=sharing"",""ภูเก็ต!M543"")"),0)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IFERROR(__xludf.DUMMYFUNCTION("IMPORTRANGE(""https://docs.google.com/spreadsheets/d/1IYY_tgx_IHuhSq3AJ5eI5OnqOPBNLWSHKh2a30DoXe8/edit?usp=sharing"",""ภูเก็ต!I544"")"),0)</f>
        <v>0</v>
      </c>
      <c r="J649" s="547">
        <f ca="1">IFERROR(__xludf.DUMMYFUNCTION("IMPORTRANGE(""https://docs.google.com/spreadsheets/d/1IYY_tgx_IHuhSq3AJ5eI5OnqOPBNLWSHKh2a30DoXe8/edit?usp=sharing"",""ภูเก็ต!J544"")"),0)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IFERROR(__xludf.DUMMYFUNCTION("IMPORTRANGE(""https://docs.google.com/spreadsheets/d/1IYY_tgx_IHuhSq3AJ5eI5OnqOPBNLWSHKh2a30DoXe8/edit?usp=sharing"",""ภูเก็ต!L544"")"),0)</f>
        <v>0</v>
      </c>
      <c r="M649" s="534"/>
      <c r="N649" s="549">
        <f ca="1">IFERROR(__xludf.DUMMYFUNCTION("IMPORTRANGE(""https://docs.google.com/spreadsheets/d/1IYY_tgx_IHuhSq3AJ5eI5OnqOPBNLWSHKh2a30DoXe8/edit?usp=sharing"",""ภูเก็ต!M544"")"),0)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IFERROR(__xludf.DUMMYFUNCTION("IMPORTRANGE(""https://docs.google.com/spreadsheets/d/1IYY_tgx_IHuhSq3AJ5eI5OnqOPBNLWSHKh2a30DoXe8/edit?usp=sharing"",""ภูเก็ต!I545"")"),0)</f>
        <v>0</v>
      </c>
      <c r="J650" s="547">
        <f ca="1">IFERROR(__xludf.DUMMYFUNCTION("IMPORTRANGE(""https://docs.google.com/spreadsheets/d/1IYY_tgx_IHuhSq3AJ5eI5OnqOPBNLWSHKh2a30DoXe8/edit?usp=sharing"",""ภูเก็ต!J545"")"),0)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IFERROR(__xludf.DUMMYFUNCTION("IMPORTRANGE(""https://docs.google.com/spreadsheets/d/1IYY_tgx_IHuhSq3AJ5eI5OnqOPBNLWSHKh2a30DoXe8/edit?usp=sharing"",""ภูเก็ต!L545"")"),0)</f>
        <v>0</v>
      </c>
      <c r="M650" s="534"/>
      <c r="N650" s="549">
        <f ca="1">IFERROR(__xludf.DUMMYFUNCTION("IMPORTRANGE(""https://docs.google.com/spreadsheets/d/1IYY_tgx_IHuhSq3AJ5eI5OnqOPBNLWSHKh2a30DoXe8/edit?usp=sharing"",""ภูเก็ต!M545"")"),0)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IFERROR(__xludf.DUMMYFUNCTION("IMPORTRANGE(""https://docs.google.com/spreadsheets/d/1IYY_tgx_IHuhSq3AJ5eI5OnqOPBNLWSHKh2a30DoXe8/edit?usp=sharing"",""ภูเก็ต!I546"")"),0)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IFERROR(__xludf.DUMMYFUNCTION("IMPORTRANGE(""https://docs.google.com/spreadsheets/d/1IYY_tgx_IHuhSq3AJ5eI5OnqOPBNLWSHKh2a30DoXe8/edit?usp=sharing"",""ภูเก็ต!L546"")"),0)</f>
        <v>0</v>
      </c>
      <c r="M651" s="534"/>
      <c r="N651" s="549">
        <f ca="1">IFERROR(__xludf.DUMMYFUNCTION("IMPORTRANGE(""https://docs.google.com/spreadsheets/d/1IYY_tgx_IHuhSq3AJ5eI5OnqOPBNLWSHKh2a30DoXe8/edit?usp=sharing"",""ภูเก็ต!M546"")"),0)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IFERROR(__xludf.DUMMYFUNCTION("IMPORTRANGE(""https://docs.google.com/spreadsheets/d/1IYY_tgx_IHuhSq3AJ5eI5OnqOPBNLWSHKh2a30DoXe8/edit?usp=sharing"",""ภูเก็ต!J547"")"),0)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IFERROR(__xludf.DUMMYFUNCTION("IMPORTRANGE(""https://docs.google.com/spreadsheets/d/1IYY_tgx_IHuhSq3AJ5eI5OnqOPBNLWSHKh2a30DoXe8/edit?usp=sharing"",""ภูเก็ต!J548"")"),0)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IFERROR(__xludf.DUMMYFUNCTION("IMPORTRANGE(""https://docs.google.com/spreadsheets/d/1IYY_tgx_IHuhSq3AJ5eI5OnqOPBNLWSHKh2a30DoXe8/edit?usp=sharing"",""ภูเก็ต!J550"")"),0)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IFERROR(__xludf.DUMMYFUNCTION("IMPORTRANGE(""https://docs.google.com/spreadsheets/d/1IYY_tgx_IHuhSq3AJ5eI5OnqOPBNLWSHKh2a30DoXe8/edit?usp=sharing"",""ภูเก็ต!J551"")"),0)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IFERROR(__xludf.DUMMYFUNCTION("IMPORTRANGE(""https://docs.google.com/spreadsheets/d/1IYY_tgx_IHuhSq3AJ5eI5OnqOPBNLWSHKh2a30DoXe8/edit?usp=sharing"",""ภูเก็ต!J552"")"),0)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IFERROR(__xludf.DUMMYFUNCTION("IMPORTRANGE(""https://docs.google.com/spreadsheets/d/1IYY_tgx_IHuhSq3AJ5eI5OnqOPBNLWSHKh2a30DoXe8/edit?usp=sharing"",""ภูเก็ต!J553"")"),0)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IFERROR(__xludf.DUMMYFUNCTION("IMPORTRANGE(""https://docs.google.com/spreadsheets/d/1IYY_tgx_IHuhSq3AJ5eI5OnqOPBNLWSHKh2a30DoXe8/edit?usp=sharing"",""ภูเก็ต!J554"")"),0)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IFERROR(__xludf.DUMMYFUNCTION("IMPORTRANGE(""https://docs.google.com/spreadsheets/d/1IYY_tgx_IHuhSq3AJ5eI5OnqOPBNLWSHKh2a30DoXe8/edit?usp=sharing"",""ภูเก็ต!J555"")"),0)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IFERROR(__xludf.DUMMYFUNCTION("IMPORTRANGE(""https://docs.google.com/spreadsheets/d/1IYY_tgx_IHuhSq3AJ5eI5OnqOPBNLWSHKh2a30DoXe8/edit?usp=sharing"",""ภูเก็ต!J556"")"),0)</f>
        <v>0</v>
      </c>
      <c r="K661" s="548"/>
      <c r="L661" s="535">
        <f ca="1">IFERROR(__xludf.DUMMYFUNCTION("IMPORTRANGE(""https://docs.google.com/spreadsheets/d/1IYY_tgx_IHuhSq3AJ5eI5OnqOPBNLWSHKh2a30DoXe8/edit?usp=sharing"",""ภูเก็ต!L556"")"),0)</f>
        <v>0</v>
      </c>
      <c r="M661" s="534"/>
      <c r="N661" s="549">
        <f ca="1">IFERROR(__xludf.DUMMYFUNCTION("IMPORTRANGE(""https://docs.google.com/spreadsheets/d/1IYY_tgx_IHuhSq3AJ5eI5OnqOPBNLWSHKh2a30DoXe8/edit?usp=sharing"",""ภูเก็ต!M556"")"),0)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IFERROR(__xludf.DUMMYFUNCTION("IMPORTRANGE(""https://docs.google.com/spreadsheets/d/1IYY_tgx_IHuhSq3AJ5eI5OnqOPBNLWSHKh2a30DoXe8/edit?usp=sharing"",""ภูเก็ต!J557"")"),0)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IFERROR(__xludf.DUMMYFUNCTION("IMPORTRANGE(""https://docs.google.com/spreadsheets/d/1IYY_tgx_IHuhSq3AJ5eI5OnqOPBNLWSHKh2a30DoXe8/edit?usp=sharing"",""ภูเก็ต!I558"")"),0)</f>
        <v>0</v>
      </c>
      <c r="J663" s="547">
        <f ca="1">IFERROR(__xludf.DUMMYFUNCTION("IMPORTRANGE(""https://docs.google.com/spreadsheets/d/1IYY_tgx_IHuhSq3AJ5eI5OnqOPBNLWSHKh2a30DoXe8/edit?usp=sharing"",""ภูเก็ต!J558"")"),0)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IFERROR(__xludf.DUMMYFUNCTION("IMPORTRANGE(""https://docs.google.com/spreadsheets/d/1IYY_tgx_IHuhSq3AJ5eI5OnqOPBNLWSHKh2a30DoXe8/edit?usp=sharing"",""ภูเก็ต!I560"")"),0)</f>
        <v>0</v>
      </c>
      <c r="J665" s="547">
        <f ca="1">IFERROR(__xludf.DUMMYFUNCTION("IMPORTRANGE(""https://docs.google.com/spreadsheets/d/1IYY_tgx_IHuhSq3AJ5eI5OnqOPBNLWSHKh2a30DoXe8/edit?usp=sharing"",""ภูเก็ต!J560"")"),0)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IFERROR(__xludf.DUMMYFUNCTION("IMPORTRANGE(""https://docs.google.com/spreadsheets/d/1IYY_tgx_IHuhSq3AJ5eI5OnqOPBNLWSHKh2a30DoXe8/edit?usp=sharing"",""ภูเก็ต!L560"")"),0)</f>
        <v>0</v>
      </c>
      <c r="M665" s="534"/>
      <c r="N665" s="549">
        <f ca="1">IFERROR(__xludf.DUMMYFUNCTION("IMPORTRANGE(""https://docs.google.com/spreadsheets/d/1IYY_tgx_IHuhSq3AJ5eI5OnqOPBNLWSHKh2a30DoXe8/edit?usp=sharing"",""ภูเก็ต!M560"")"),0)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IFERROR(__xludf.DUMMYFUNCTION("IMPORTRANGE(""https://docs.google.com/spreadsheets/d/1IYY_tgx_IHuhSq3AJ5eI5OnqOPBNLWSHKh2a30DoXe8/edit?usp=sharing"",""ภูเก็ต!J561"")"),0)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IFERROR(__xludf.DUMMYFUNCTION("IMPORTRANGE(""https://docs.google.com/spreadsheets/d/1IYY_tgx_IHuhSq3AJ5eI5OnqOPBNLWSHKh2a30DoXe8/edit?usp=sharing"",""ภูเก็ต!J562"")"),0)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IFERROR(__xludf.DUMMYFUNCTION("IMPORTRANGE(""https://docs.google.com/spreadsheets/d/1IYY_tgx_IHuhSq3AJ5eI5OnqOPBNLWSHKh2a30DoXe8/edit?usp=sharing"",""ภูเก็ต!I563"")"),0)</f>
        <v>0</v>
      </c>
      <c r="J668" s="547">
        <f ca="1">IFERROR(__xludf.DUMMYFUNCTION("IMPORTRANGE(""https://docs.google.com/spreadsheets/d/1IYY_tgx_IHuhSq3AJ5eI5OnqOPBNLWSHKh2a30DoXe8/edit?usp=sharing"",""ภูเก็ต!J563"")"),0)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IFERROR(__xludf.DUMMYFUNCTION("IMPORTRANGE(""https://docs.google.com/spreadsheets/d/1IYY_tgx_IHuhSq3AJ5eI5OnqOPBNLWSHKh2a30DoXe8/edit?usp=sharing"",""ภูเก็ต!L563"")"),0)</f>
        <v>0</v>
      </c>
      <c r="M668" s="534"/>
      <c r="N668" s="549">
        <f ca="1">IFERROR(__xludf.DUMMYFUNCTION("IMPORTRANGE(""https://docs.google.com/spreadsheets/d/1IYY_tgx_IHuhSq3AJ5eI5OnqOPBNLWSHKh2a30DoXe8/edit?usp=sharing"",""ภูเก็ต!M563"")"),0)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IFERROR(__xludf.DUMMYFUNCTION("IMPORTRANGE(""https://docs.google.com/spreadsheets/d/1IYY_tgx_IHuhSq3AJ5eI5OnqOPBNLWSHKh2a30DoXe8/edit?usp=sharing"",""ภูเก็ต!J564"")"),0)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IFERROR(__xludf.DUMMYFUNCTION("IMPORTRANGE(""https://docs.google.com/spreadsheets/d/1IYY_tgx_IHuhSq3AJ5eI5OnqOPBNLWSHKh2a30DoXe8/edit?usp=sharing"",""ภูเก็ต!J565"")"),0)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IFERROR(__xludf.DUMMYFUNCTION("IMPORTRANGE(""https://docs.google.com/spreadsheets/d/1IYY_tgx_IHuhSq3AJ5eI5OnqOPBNLWSHKh2a30DoXe8/edit?usp=sharing"",""ภูเก็ต!I566"")"),0)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IFERROR(__xludf.DUMMYFUNCTION("IMPORTRANGE(""https://docs.google.com/spreadsheets/d/1IYY_tgx_IHuhSq3AJ5eI5OnqOPBNLWSHKh2a30DoXe8/edit?usp=sharing"",""ภูเก็ต!L566"")"),0)</f>
        <v>0</v>
      </c>
      <c r="M671" s="534"/>
      <c r="N671" s="549">
        <f ca="1">IFERROR(__xludf.DUMMYFUNCTION("IMPORTRANGE(""https://docs.google.com/spreadsheets/d/1IYY_tgx_IHuhSq3AJ5eI5OnqOPBNLWSHKh2a30DoXe8/edit?usp=sharing"",""ภูเก็ต!M566"")"),0)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IFERROR(__xludf.DUMMYFUNCTION("IMPORTRANGE(""https://docs.google.com/spreadsheets/d/1IYY_tgx_IHuhSq3AJ5eI5OnqOPBNLWSHKh2a30DoXe8/edit?usp=sharing"",""ภูเก็ต!J567"")"),0)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IFERROR(__xludf.DUMMYFUNCTION("IMPORTRANGE(""https://docs.google.com/spreadsheets/d/1IYY_tgx_IHuhSq3AJ5eI5OnqOPBNLWSHKh2a30DoXe8/edit?usp=sharing"",""ภูเก็ต!J568"")"),0)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IFERROR(__xludf.DUMMYFUNCTION("IMPORTRANGE(""https://docs.google.com/spreadsheets/d/1IYY_tgx_IHuhSq3AJ5eI5OnqOPBNLWSHKh2a30DoXe8/edit?usp=sharing"",""ภูเก็ต!J569"")"),0)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IFERROR(__xludf.DUMMYFUNCTION("IMPORTRANGE(""https://docs.google.com/spreadsheets/d/1IYY_tgx_IHuhSq3AJ5eI5OnqOPBNLWSHKh2a30DoXe8/edit?usp=sharing"",""ภูเก็ต!J570"")"),0)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IFERROR(__xludf.DUMMYFUNCTION("IMPORTRANGE(""https://docs.google.com/spreadsheets/d/1IYY_tgx_IHuhSq3AJ5eI5OnqOPBNLWSHKh2a30DoXe8/edit?usp=sharing"",""ภูเก็ต!J571"")"),0)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IFERROR(__xludf.DUMMYFUNCTION("IMPORTRANGE(""https://docs.google.com/spreadsheets/d/1IYY_tgx_IHuhSq3AJ5eI5OnqOPBNLWSHKh2a30DoXe8/edit?usp=sharing"",""ภูเก็ต!J572"")"),0)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280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2470042</v>
      </c>
      <c r="M8" s="23">
        <f t="shared" ca="1" si="0"/>
        <v>1993915.28</v>
      </c>
      <c r="N8" s="23">
        <f t="shared" ca="1" si="0"/>
        <v>2160160.59</v>
      </c>
      <c r="O8" s="22">
        <f t="shared" ref="O8:O16" ca="1" si="1">IF(L8&gt;0,N8*100/L8,0)</f>
        <v>87.454407252994073</v>
      </c>
      <c r="P8" s="22">
        <f t="shared" ref="P8:P16" ca="1" si="2">IF(M8&gt;0,N8*100/M8,0)</f>
        <v>108.337631576804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2470042</v>
      </c>
      <c r="M10" s="30">
        <f t="shared" ca="1" si="4"/>
        <v>1993915.28</v>
      </c>
      <c r="N10" s="30">
        <f t="shared" ca="1" si="4"/>
        <v>2160160.59</v>
      </c>
      <c r="O10" s="29">
        <f t="shared" ca="1" si="1"/>
        <v>87.454407252994073</v>
      </c>
      <c r="P10" s="29">
        <f t="shared" ca="1" si="2"/>
        <v>108.337631576804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2275042</v>
      </c>
      <c r="M12" s="38">
        <f t="shared" ca="1" si="6"/>
        <v>1798915.28</v>
      </c>
      <c r="N12" s="38">
        <f t="shared" ca="1" si="6"/>
        <v>1965160.59</v>
      </c>
      <c r="O12" s="38">
        <f t="shared" ca="1" si="1"/>
        <v>86.37909058382219</v>
      </c>
      <c r="P12" s="38">
        <f t="shared" ca="1" si="2"/>
        <v>109.24141964039573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1360100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914942</v>
      </c>
      <c r="M14" s="38">
        <f t="shared" si="8"/>
        <v>0</v>
      </c>
      <c r="N14" s="38">
        <f t="shared" ca="1" si="8"/>
        <v>521867.95</v>
      </c>
      <c r="O14" s="41">
        <f t="shared" ca="1" si="1"/>
        <v>57.038364180461713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1859375</v>
      </c>
      <c r="M18" s="23">
        <f t="shared" ca="1" si="11"/>
        <v>1993915.28</v>
      </c>
      <c r="N18" s="23">
        <f t="shared" ca="1" si="11"/>
        <v>1638292.6400000001</v>
      </c>
      <c r="O18" s="22">
        <f t="shared" ref="O18:O20" ca="1" si="12">IF(L18&gt;0,N18*100/L18,0)</f>
        <v>88.109856268907564</v>
      </c>
      <c r="P18" s="22">
        <f t="shared" ref="P18:P26" ca="1" si="13">IF(M18&gt;0,N18*100/M18,0)</f>
        <v>82.164606311658332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1859375</v>
      </c>
      <c r="M20" s="30">
        <f t="shared" ca="1" si="15"/>
        <v>1993915.28</v>
      </c>
      <c r="N20" s="30">
        <f t="shared" ca="1" si="15"/>
        <v>1638292.6400000001</v>
      </c>
      <c r="O20" s="29">
        <f t="shared" ca="1" si="12"/>
        <v>88.109856268907564</v>
      </c>
      <c r="P20" s="29">
        <f t="shared" ca="1" si="13"/>
        <v>82.164606311658332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1664375</v>
      </c>
      <c r="M22" s="42">
        <f t="shared" ca="1" si="18"/>
        <v>1798915.28</v>
      </c>
      <c r="N22" s="41">
        <f t="shared" ca="1" si="18"/>
        <v>1443292.6400000001</v>
      </c>
      <c r="O22" s="41">
        <f t="shared" ca="1" si="17"/>
        <v>86.716793991738641</v>
      </c>
      <c r="P22" s="41">
        <f t="shared" ca="1" si="13"/>
        <v>80.231273592828671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1360100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304275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610667</v>
      </c>
      <c r="M28" s="23">
        <f t="shared" si="23"/>
        <v>0</v>
      </c>
      <c r="N28" s="23">
        <f t="shared" ca="1" si="23"/>
        <v>521867.95</v>
      </c>
      <c r="O28" s="22">
        <f t="shared" ref="O28:O30" ca="1" si="24">IF(L28&gt;0,N28*100/L28,0)</f>
        <v>85.458678788930797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610667</v>
      </c>
      <c r="M30" s="30">
        <f t="shared" si="27"/>
        <v>0</v>
      </c>
      <c r="N30" s="30">
        <f t="shared" ca="1" si="27"/>
        <v>521867.95</v>
      </c>
      <c r="O30" s="29">
        <f t="shared" ca="1" si="24"/>
        <v>85.458678788930797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610667</v>
      </c>
      <c r="M32" s="41">
        <f t="shared" si="30"/>
        <v>0</v>
      </c>
      <c r="N32" s="41">
        <f t="shared" ca="1" si="30"/>
        <v>521867.95</v>
      </c>
      <c r="O32" s="41">
        <f t="shared" ca="1" si="29"/>
        <v>85.458678788930797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610667</v>
      </c>
      <c r="M34" s="41">
        <f t="shared" si="32"/>
        <v>0</v>
      </c>
      <c r="N34" s="41">
        <f t="shared" ca="1" si="32"/>
        <v>521867.95</v>
      </c>
      <c r="O34" s="41">
        <f t="shared" ca="1" si="29"/>
        <v>85.458678788930797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1859375</v>
      </c>
      <c r="M37" s="55">
        <f t="shared" ca="1" si="33"/>
        <v>1993915.28</v>
      </c>
      <c r="N37" s="55">
        <f t="shared" ca="1" si="33"/>
        <v>1638292.6400000001</v>
      </c>
      <c r="O37" s="56">
        <f t="shared" ca="1" si="29"/>
        <v>88.109856268907564</v>
      </c>
      <c r="P37" s="56">
        <f t="shared" ca="1" si="25"/>
        <v>82.164606311658332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615100</v>
      </c>
      <c r="N41" s="79">
        <f t="shared" ca="1" si="34"/>
        <v>494129.76</v>
      </c>
      <c r="O41" s="78">
        <f t="shared" ref="O41:O43" ca="1" si="35">IF(L41&gt;0,N41*100/L41,0)</f>
        <v>80.333240123557147</v>
      </c>
      <c r="P41" s="78">
        <f t="shared" ref="P41:P43" ca="1" si="36">IF(M41&gt;0,N41*100/M41,0)</f>
        <v>80.333240123557147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615100</v>
      </c>
      <c r="N43" s="79">
        <f t="shared" ca="1" si="38"/>
        <v>494129.76</v>
      </c>
      <c r="O43" s="78">
        <f t="shared" ca="1" si="35"/>
        <v>80.333240123557147</v>
      </c>
      <c r="P43" s="78">
        <f t="shared" ca="1" si="36"/>
        <v>80.333240123557147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IFERROR(__xludf.DUMMYFUNCTION("IMPORTRANGE(""https://docs.google.com/spreadsheets/d/1Yj_ptqi66GCucihVvJfMjLAmec39IyEx_6qawtMGysU/edit?usp=sharing"",""สบก!Q90"")"),567100)</f>
        <v>567100</v>
      </c>
      <c r="N45" s="91">
        <f ca="1">IFERROR(__xludf.DUMMYFUNCTION("IMPORTRANGE(""https://docs.google.com/spreadsheets/d/1Yj_ptqi66GCucihVvJfMjLAmec39IyEx_6qawtMGysU/edit?usp=sharing"",""สบก!R90"")"),446129.76)</f>
        <v>446129.76</v>
      </c>
      <c r="O45" s="92">
        <f ca="1">IF(L45&gt;0,N45*100/L45,0)</f>
        <v>78.668622817845176</v>
      </c>
      <c r="P45" s="92">
        <f ca="1">IF(M45&gt;0,N45*100/M45,0)</f>
        <v>78.668622817845176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169000</v>
      </c>
      <c r="M53" s="125">
        <f t="shared" ca="1" si="39"/>
        <v>242840.28</v>
      </c>
      <c r="N53" s="125">
        <f t="shared" ca="1" si="39"/>
        <v>204840.28</v>
      </c>
      <c r="O53" s="124">
        <f t="shared" ref="O53:O55" ca="1" si="40">IF(L53&gt;0,N53*100/L53,0)</f>
        <v>121.20726627218934</v>
      </c>
      <c r="P53" s="124">
        <f t="shared" ref="P53:P55" ca="1" si="41">IF(M53&gt;0,N53*100/M53,0)</f>
        <v>84.351854642895319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169000</v>
      </c>
      <c r="M55" s="125">
        <f t="shared" ca="1" si="43"/>
        <v>242840.28</v>
      </c>
      <c r="N55" s="125">
        <f t="shared" ca="1" si="43"/>
        <v>204840.28</v>
      </c>
      <c r="O55" s="124">
        <f t="shared" ca="1" si="40"/>
        <v>121.20726627218934</v>
      </c>
      <c r="P55" s="124">
        <f t="shared" ca="1" si="41"/>
        <v>84.351854642895319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169000</v>
      </c>
      <c r="M57" s="91">
        <f ca="1">IFERROR(__xludf.DUMMYFUNCTION("IMPORTRANGE(""https://docs.google.com/spreadsheets/d/1Yj_ptqi66GCucihVvJfMjLAmec39IyEx_6qawtMGysU/edit?usp=sharing"",""สบก!Z90"")"),242840.28)</f>
        <v>242840.28</v>
      </c>
      <c r="N57" s="91">
        <f ca="1">IFERROR(__xludf.DUMMYFUNCTION("IMPORTRANGE(""https://docs.google.com/spreadsheets/d/1Yj_ptqi66GCucihVvJfMjLAmec39IyEx_6qawtMGysU/edit?usp=sharing"",""สบก!AA90"")"),204840.28)</f>
        <v>204840.28</v>
      </c>
      <c r="O57" s="92">
        <f ca="1">IF(L57&gt;0,N57*100/L57,0)</f>
        <v>121.20726627218934</v>
      </c>
      <c r="P57" s="92">
        <f ca="1">IF(M57&gt;0,N57*100/M57,0)</f>
        <v>84.351854642895319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IFERROR(__xludf.DUMMYFUNCTION("IMPORTRANGE(""https://docs.google.com/spreadsheets/d/1Yj_ptqi66GCucihVvJfMjLAmec39IyEx_6qawtMGysU/edit?usp=sharing"",""สบก!V90"")"),169000)</f>
        <v>169000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IFERROR(__xludf.DUMMYFUNCTION("IMPORTRANGE(""https://docs.google.com/spreadsheets/d/1Yj_ptqi66GCucihVvJfMjLAmec39IyEx_6qawtMGysU/edit?usp=sharing"",""สบก!AI90"")"),0)</f>
        <v>0</v>
      </c>
      <c r="N70" s="174">
        <f ca="1">IFERROR(__xludf.DUMMYFUNCTION("IMPORTRANGE(""https://docs.google.com/spreadsheets/d/1Yj_ptqi66GCucihVvJfMjLAmec39IyEx_6qawtMGysU/edit?usp=sharing"",""สบก!AJ90"")"),0)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IFERROR(__xludf.DUMMYFUNCTION("IMPORTRANGE(""https://docs.google.com/spreadsheets/d/1Yj_ptqi66GCucihVvJfMjLAmec39IyEx_6qawtMGysU/edit?usp=sharing"",""สบก!AE90"")"),0)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IFERROR(__xludf.DUMMYFUNCTION("IMPORTRANGE(""https://docs.google.com/spreadsheets/d/1Yj_ptqi66GCucihVvJfMjLAmec39IyEx_6qawtMGysU/edit?usp=sharing"",""สบก!AF90"")"),0)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IFERROR(__xludf.DUMMYFUNCTION("IMPORTRANGE(""https://docs.google.com/spreadsheets/d/1IYY_tgx_IHuhSq3AJ5eI5OnqOPBNLWSHKh2a30DoXe8/edit?usp=sharing"",""ยะลา!J16"")"),0)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IFERROR(__xludf.DUMMYFUNCTION("IMPORTRANGE(""https://docs.google.com/spreadsheets/d/1IYY_tgx_IHuhSq3AJ5eI5OnqOPBNLWSHKh2a30DoXe8/edit?usp=sharing"",""ยะลา!J17"")"),0)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IFERROR(__xludf.DUMMYFUNCTION("IMPORTRANGE(""https://docs.google.com/spreadsheets/d/1IYY_tgx_IHuhSq3AJ5eI5OnqOPBNLWSHKh2a30DoXe8/edit?usp=sharing"",""ยะลา!J18"")"),0)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IFERROR(__xludf.DUMMYFUNCTION("IMPORTRANGE(""https://docs.google.com/spreadsheets/d/1IYY_tgx_IHuhSq3AJ5eI5OnqOPBNLWSHKh2a30DoXe8/edit?usp=sharing"",""ยะลา!J19"")"),0)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IFERROR(__xludf.DUMMYFUNCTION("IMPORTRANGE(""https://docs.google.com/spreadsheets/d/1IYY_tgx_IHuhSq3AJ5eI5OnqOPBNLWSHKh2a30DoXe8/edit?usp=sharing"",""ยะลา!I20"")"),0)</f>
        <v>0</v>
      </c>
      <c r="J80" s="207">
        <f ca="1">IFERROR(__xludf.DUMMYFUNCTION("IMPORTRANGE(""https://docs.google.com/spreadsheets/d/1IYY_tgx_IHuhSq3AJ5eI5OnqOPBNLWSHKh2a30DoXe8/edit?usp=sharing"",""ยะลา!J20"")"),0)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IFERROR(__xludf.DUMMYFUNCTION("IMPORTRANGE(""https://docs.google.com/spreadsheets/d/1IYY_tgx_IHuhSq3AJ5eI5OnqOPBNLWSHKh2a30DoXe8/edit?usp=sharing"",""ยะลา!I21"")"),0)</f>
        <v>0</v>
      </c>
      <c r="J81" s="207">
        <f ca="1">IFERROR(__xludf.DUMMYFUNCTION("IMPORTRANGE(""https://docs.google.com/spreadsheets/d/1IYY_tgx_IHuhSq3AJ5eI5OnqOPBNLWSHKh2a30DoXe8/edit?usp=sharing"",""ยะลา!J21"")"),0)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IFERROR(__xludf.DUMMYFUNCTION("IMPORTRANGE(""https://docs.google.com/spreadsheets/d/1IYY_tgx_IHuhSq3AJ5eI5OnqOPBNLWSHKh2a30DoXe8/edit?usp=sharing"",""ยะลา!I22"")"),0)</f>
        <v>0</v>
      </c>
      <c r="J82" s="210">
        <f ca="1">IFERROR(__xludf.DUMMYFUNCTION("IMPORTRANGE(""https://docs.google.com/spreadsheets/d/1IYY_tgx_IHuhSq3AJ5eI5OnqOPBNLWSHKh2a30DoXe8/edit?usp=sharing"",""ยะลา!J22"")"),0)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IFERROR(__xludf.DUMMYFUNCTION("IMPORTRANGE(""https://docs.google.com/spreadsheets/d/1IYY_tgx_IHuhSq3AJ5eI5OnqOPBNLWSHKh2a30DoXe8/edit?usp=sharing"",""ยะลา!I23"")"),0)</f>
        <v>0</v>
      </c>
      <c r="J83" s="210">
        <f ca="1">IFERROR(__xludf.DUMMYFUNCTION("IMPORTRANGE(""https://docs.google.com/spreadsheets/d/1IYY_tgx_IHuhSq3AJ5eI5OnqOPBNLWSHKh2a30DoXe8/edit?usp=sharing"",""ยะลา!J23"")"),0)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IFERROR(__xludf.DUMMYFUNCTION("IMPORTRANGE(""https://docs.google.com/spreadsheets/d/1IYY_tgx_IHuhSq3AJ5eI5OnqOPBNLWSHKh2a30DoXe8/edit?usp=sharing"",""ยะลา!I24"")"),0)</f>
        <v>0</v>
      </c>
      <c r="J84" s="195">
        <f ca="1">IFERROR(__xludf.DUMMYFUNCTION("IMPORTRANGE(""https://docs.google.com/spreadsheets/d/1IYY_tgx_IHuhSq3AJ5eI5OnqOPBNLWSHKh2a30DoXe8/edit?usp=sharing"",""ยะลา!J24"")"),0)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IFERROR(__xludf.DUMMYFUNCTION("IMPORTRANGE(""https://docs.google.com/spreadsheets/d/1IYY_tgx_IHuhSq3AJ5eI5OnqOPBNLWSHKh2a30DoXe8/edit?usp=sharing"",""ยะลา!I25"")"),0)</f>
        <v>0</v>
      </c>
      <c r="J85" s="195">
        <f ca="1">IFERROR(__xludf.DUMMYFUNCTION("IMPORTRANGE(""https://docs.google.com/spreadsheets/d/1IYY_tgx_IHuhSq3AJ5eI5OnqOPBNLWSHKh2a30DoXe8/edit?usp=sharing"",""ยะลา!J25"")"),0)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IFERROR(__xludf.DUMMYFUNCTION("IMPORTRANGE(""https://docs.google.com/spreadsheets/d/1IYY_tgx_IHuhSq3AJ5eI5OnqOPBNLWSHKh2a30DoXe8/edit?usp=sharing"",""ยะลา!I26"")"),0)</f>
        <v>0</v>
      </c>
      <c r="J86" s="210">
        <f ca="1">IFERROR(__xludf.DUMMYFUNCTION("IMPORTRANGE(""https://docs.google.com/spreadsheets/d/1IYY_tgx_IHuhSq3AJ5eI5OnqOPBNLWSHKh2a30DoXe8/edit?usp=sharing"",""ยะลา!J26"")"),0)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IFERROR(__xludf.DUMMYFUNCTION("IMPORTRANGE(""https://docs.google.com/spreadsheets/d/1IYY_tgx_IHuhSq3AJ5eI5OnqOPBNLWSHKh2a30DoXe8/edit?usp=sharing"",""ยะลา!I27"")"),0)</f>
        <v>0</v>
      </c>
      <c r="J87" s="210">
        <f ca="1">IFERROR(__xludf.DUMMYFUNCTION("IMPORTRANGE(""https://docs.google.com/spreadsheets/d/1IYY_tgx_IHuhSq3AJ5eI5OnqOPBNLWSHKh2a30DoXe8/edit?usp=sharing"",""ยะลา!J27"")"),0)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IFERROR(__xludf.DUMMYFUNCTION("IMPORTRANGE(""https://docs.google.com/spreadsheets/d/1IYY_tgx_IHuhSq3AJ5eI5OnqOPBNLWSHKh2a30DoXe8/edit?usp=sharing"",""ยะลา!I28"")"),0)</f>
        <v>0</v>
      </c>
      <c r="J88" s="210">
        <f ca="1">IFERROR(__xludf.DUMMYFUNCTION("IMPORTRANGE(""https://docs.google.com/spreadsheets/d/1IYY_tgx_IHuhSq3AJ5eI5OnqOPBNLWSHKh2a30DoXe8/edit?usp=sharing"",""ยะลา!J28"")"),0)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IFERROR(__xludf.DUMMYFUNCTION("IMPORTRANGE(""https://docs.google.com/spreadsheets/d/1IYY_tgx_IHuhSq3AJ5eI5OnqOPBNLWSHKh2a30DoXe8/edit?usp=sharing"",""ยะลา!J29"")"),0)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IFERROR(__xludf.DUMMYFUNCTION("IMPORTRANGE(""https://docs.google.com/spreadsheets/d/1IYY_tgx_IHuhSq3AJ5eI5OnqOPBNLWSHKh2a30DoXe8/edit?usp=sharing"",""ยะลา!J30"")"),0)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IFERROR(__xludf.DUMMYFUNCTION("IMPORTRANGE(""https://docs.google.com/spreadsheets/d/1Yj_ptqi66GCucihVvJfMjLAmec39IyEx_6qawtMGysU/edit?usp=sharing"",""สบก!AR90"")"),0)</f>
        <v>0</v>
      </c>
      <c r="N98" s="174">
        <f ca="1">IFERROR(__xludf.DUMMYFUNCTION("IMPORTRANGE(""https://docs.google.com/spreadsheets/d/1Yj_ptqi66GCucihVvJfMjLAmec39IyEx_6qawtMGysU/edit?usp=sharing"",""สบก!AS90"")"),0)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IFERROR(__xludf.DUMMYFUNCTION("IMPORTRANGE(""https://docs.google.com/spreadsheets/d/1Yj_ptqi66GCucihVvJfMjLAmec39IyEx_6qawtMGysU/edit?usp=sharing"",""สบก!AN90"")"),0)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IFERROR(__xludf.DUMMYFUNCTION("IMPORTRANGE(""https://docs.google.com/spreadsheets/d/1Yj_ptqi66GCucihVvJfMjLAmec39IyEx_6qawtMGysU/edit?usp=sharing"",""สบก!AO90"")"),0)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IFERROR(__xludf.DUMMYFUNCTION("IMPORTRANGE(""https://docs.google.com/spreadsheets/d/1IYY_tgx_IHuhSq3AJ5eI5OnqOPBNLWSHKh2a30DoXe8/edit?usp=sharing"",""ยะลา!J39"")"),0)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IFERROR(__xludf.DUMMYFUNCTION("IMPORTRANGE(""https://docs.google.com/spreadsheets/d/1IYY_tgx_IHuhSq3AJ5eI5OnqOPBNLWSHKh2a30DoXe8/edit?usp=sharing"",""ยะลา!J40"")"),0)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IFERROR(__xludf.DUMMYFUNCTION("IMPORTRANGE(""https://docs.google.com/spreadsheets/d/1IYY_tgx_IHuhSq3AJ5eI5OnqOPBNLWSHKh2a30DoXe8/edit?usp=sharing"",""ยะลา!J41"")"),0)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IFERROR(__xludf.DUMMYFUNCTION("IMPORTRANGE(""https://docs.google.com/spreadsheets/d/1IYY_tgx_IHuhSq3AJ5eI5OnqOPBNLWSHKh2a30DoXe8/edit?usp=sharing"",""ยะลา!J42"")"),0)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IFERROR(__xludf.DUMMYFUNCTION("IMPORTRANGE(""https://docs.google.com/spreadsheets/d/1IYY_tgx_IHuhSq3AJ5eI5OnqOPBNLWSHKh2a30DoXe8/edit?usp=sharing"",""ยะลา!I43"")"),0)</f>
        <v>0</v>
      </c>
      <c r="J108" s="210">
        <f ca="1">IFERROR(__xludf.DUMMYFUNCTION("IMPORTRANGE(""https://docs.google.com/spreadsheets/d/1IYY_tgx_IHuhSq3AJ5eI5OnqOPBNLWSHKh2a30DoXe8/edit?usp=sharing"",""ยะลา!J43"")"),0)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IFERROR(__xludf.DUMMYFUNCTION("IMPORTRANGE(""https://docs.google.com/spreadsheets/d/1IYY_tgx_IHuhSq3AJ5eI5OnqOPBNLWSHKh2a30DoXe8/edit?usp=sharing"",""ยะลา!I44"")"),0)</f>
        <v>0</v>
      </c>
      <c r="J109" s="210">
        <f ca="1">IFERROR(__xludf.DUMMYFUNCTION("IMPORTRANGE(""https://docs.google.com/spreadsheets/d/1IYY_tgx_IHuhSq3AJ5eI5OnqOPBNLWSHKh2a30DoXe8/edit?usp=sharing"",""ยะลา!J44"")"),0)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IFERROR(__xludf.DUMMYFUNCTION("IMPORTRANGE(""https://docs.google.com/spreadsheets/d/1IYY_tgx_IHuhSq3AJ5eI5OnqOPBNLWSHKh2a30DoXe8/edit?usp=sharing"",""ยะลา!I45"")"),0)</f>
        <v>0</v>
      </c>
      <c r="J110" s="210">
        <f ca="1">IFERROR(__xludf.DUMMYFUNCTION("IMPORTRANGE(""https://docs.google.com/spreadsheets/d/1IYY_tgx_IHuhSq3AJ5eI5OnqOPBNLWSHKh2a30DoXe8/edit?usp=sharing"",""ยะลา!J45"")"),0)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IFERROR(__xludf.DUMMYFUNCTION("IMPORTRANGE(""https://docs.google.com/spreadsheets/d/1IYY_tgx_IHuhSq3AJ5eI5OnqOPBNLWSHKh2a30DoXe8/edit?usp=sharing"",""ยะลา!I46"")"),0)</f>
        <v>0</v>
      </c>
      <c r="J111" s="210">
        <f ca="1">IFERROR(__xludf.DUMMYFUNCTION("IMPORTRANGE(""https://docs.google.com/spreadsheets/d/1IYY_tgx_IHuhSq3AJ5eI5OnqOPBNLWSHKh2a30DoXe8/edit?usp=sharing"",""ยะลา!J46"")"),0)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IFERROR(__xludf.DUMMYFUNCTION("IMPORTRANGE(""https://docs.google.com/spreadsheets/d/1IYY_tgx_IHuhSq3AJ5eI5OnqOPBNLWSHKh2a30DoXe8/edit?usp=sharing"",""ยะลา!I47"")"),0)</f>
        <v>0</v>
      </c>
      <c r="J112" s="210">
        <f ca="1">IFERROR(__xludf.DUMMYFUNCTION("IMPORTRANGE(""https://docs.google.com/spreadsheets/d/1IYY_tgx_IHuhSq3AJ5eI5OnqOPBNLWSHKh2a30DoXe8/edit?usp=sharing"",""ยะลา!J47"")"),0)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IFERROR(__xludf.DUMMYFUNCTION("IMPORTRANGE(""https://docs.google.com/spreadsheets/d/1IYY_tgx_IHuhSq3AJ5eI5OnqOPBNLWSHKh2a30DoXe8/edit?usp=sharing"",""ยะลา!I48"")"),0)</f>
        <v>0</v>
      </c>
      <c r="J113" s="210">
        <f ca="1">IFERROR(__xludf.DUMMYFUNCTION("IMPORTRANGE(""https://docs.google.com/spreadsheets/d/1IYY_tgx_IHuhSq3AJ5eI5OnqOPBNLWSHKh2a30DoXe8/edit?usp=sharing"",""ยะลา!J48"")"),0)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IFERROR(__xludf.DUMMYFUNCTION("IMPORTRANGE(""https://docs.google.com/spreadsheets/d/1IYY_tgx_IHuhSq3AJ5eI5OnqOPBNLWSHKh2a30DoXe8/edit?usp=sharing"",""ยะลา!J49"")"),0)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IFERROR(__xludf.DUMMYFUNCTION("IMPORTRANGE(""https://docs.google.com/spreadsheets/d/1IYY_tgx_IHuhSq3AJ5eI5OnqOPBNLWSHKh2a30DoXe8/edit?usp=sharing"",""ยะลา!J50"")"),0)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IFERROR(__xludf.DUMMYFUNCTION("IMPORTRANGE(""https://docs.google.com/spreadsheets/d/1Yj_ptqi66GCucihVvJfMjLAmec39IyEx_6qawtMGysU/edit?usp=sharing"",""สบก!BA90"")"),0)</f>
        <v>0</v>
      </c>
      <c r="N122" s="174">
        <f ca="1">IFERROR(__xludf.DUMMYFUNCTION("IMPORTRANGE(""https://docs.google.com/spreadsheets/d/1Yj_ptqi66GCucihVvJfMjLAmec39IyEx_6qawtMGysU/edit?usp=sharing"",""สบก!BB90"")"),0)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IFERROR(__xludf.DUMMYFUNCTION("IMPORTRANGE(""https://docs.google.com/spreadsheets/d/1Yj_ptqi66GCucihVvJfMjLAmec39IyEx_6qawtMGysU/edit?usp=sharing"",""สบก!AW90"")"),0)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IFERROR(__xludf.DUMMYFUNCTION("IMPORTRANGE(""https://docs.google.com/spreadsheets/d/1Yj_ptqi66GCucihVvJfMjLAmec39IyEx_6qawtMGysU/edit?usp=sharing"",""สบก!AX90"")"),0)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IFERROR(__xludf.DUMMYFUNCTION("IMPORTRANGE(""https://docs.google.com/spreadsheets/d/1IYY_tgx_IHuhSq3AJ5eI5OnqOPBNLWSHKh2a30DoXe8/edit?usp=sharing"",""ยะลา!J58"")"),0)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IFERROR(__xludf.DUMMYFUNCTION("IMPORTRANGE(""https://docs.google.com/spreadsheets/d/1IYY_tgx_IHuhSq3AJ5eI5OnqOPBNLWSHKh2a30DoXe8/edit?usp=sharing"",""ยะลา!J59"")"),0)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IFERROR(__xludf.DUMMYFUNCTION("IMPORTRANGE(""https://docs.google.com/spreadsheets/d/1IYY_tgx_IHuhSq3AJ5eI5OnqOPBNLWSHKh2a30DoXe8/edit?usp=sharing"",""ยะลา!J60"")"),0)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IFERROR(__xludf.DUMMYFUNCTION("IMPORTRANGE(""https://docs.google.com/spreadsheets/d/1IYY_tgx_IHuhSq3AJ5eI5OnqOPBNLWSHKh2a30DoXe8/edit?usp=sharing"",""ยะลา!J61"")"),0)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IFERROR(__xludf.DUMMYFUNCTION("IMPORTRANGE(""https://docs.google.com/spreadsheets/d/1IYY_tgx_IHuhSq3AJ5eI5OnqOPBNLWSHKh2a30DoXe8/edit?usp=sharing"",""ยะลา!I62"")"),0)</f>
        <v>0</v>
      </c>
      <c r="J132" s="210">
        <f ca="1">IFERROR(__xludf.DUMMYFUNCTION("IMPORTRANGE(""https://docs.google.com/spreadsheets/d/1IYY_tgx_IHuhSq3AJ5eI5OnqOPBNLWSHKh2a30DoXe8/edit?usp=sharing"",""ยะลา!J62"")"),0)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IFERROR(__xludf.DUMMYFUNCTION("IMPORTRANGE(""https://docs.google.com/spreadsheets/d/1IYY_tgx_IHuhSq3AJ5eI5OnqOPBNLWSHKh2a30DoXe8/edit?usp=sharing"",""ยะลา!I63"")"),0)</f>
        <v>0</v>
      </c>
      <c r="J133" s="210">
        <f ca="1">IFERROR(__xludf.DUMMYFUNCTION("IMPORTRANGE(""https://docs.google.com/spreadsheets/d/1IYY_tgx_IHuhSq3AJ5eI5OnqOPBNLWSHKh2a30DoXe8/edit?usp=sharing"",""ยะลา!J63"")"),0)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IFERROR(__xludf.DUMMYFUNCTION("IMPORTRANGE(""https://docs.google.com/spreadsheets/d/1IYY_tgx_IHuhSq3AJ5eI5OnqOPBNLWSHKh2a30DoXe8/edit?usp=sharing"",""ยะลา!J64"")"),0)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IFERROR(__xludf.DUMMYFUNCTION("IMPORTRANGE(""https://docs.google.com/spreadsheets/d/1IYY_tgx_IHuhSq3AJ5eI5OnqOPBNLWSHKh2a30DoXe8/edit?usp=sharing"",""ยะลา!J65"")"),0)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IFERROR(__xludf.DUMMYFUNCTION("IMPORTRANGE(""https://docs.google.com/spreadsheets/d/1IYY_tgx_IHuhSq3AJ5eI5OnqOPBNLWSHKh2a30DoXe8/edit?usp=sharing"",""ยะลา!I68"")"),0)</f>
        <v>0</v>
      </c>
      <c r="J138" s="273">
        <f ca="1">IFERROR(__xludf.DUMMYFUNCTION("IMPORTRANGE(""https://docs.google.com/spreadsheets/d/1IYY_tgx_IHuhSq3AJ5eI5OnqOPBNLWSHKh2a30DoXe8/edit?usp=sharing"",""ยะลา!J68"")"),0)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29300</v>
      </c>
      <c r="M140" s="156">
        <f t="shared" ca="1" si="64"/>
        <v>37300</v>
      </c>
      <c r="N140" s="156">
        <f t="shared" ca="1" si="64"/>
        <v>27480</v>
      </c>
      <c r="O140" s="155">
        <f t="shared" ref="O140:O142" ca="1" si="65">IF(L140&gt;0,N140*100/L140,0)</f>
        <v>93.788395904436854</v>
      </c>
      <c r="P140" s="155">
        <f t="shared" ref="P140:P142" ca="1" si="66">IF(M140&gt;0,N140*100/M140,0)</f>
        <v>73.672922252010721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29300</v>
      </c>
      <c r="M142" s="161">
        <f t="shared" ca="1" si="68"/>
        <v>37300</v>
      </c>
      <c r="N142" s="161">
        <f t="shared" ca="1" si="68"/>
        <v>27480</v>
      </c>
      <c r="O142" s="160">
        <f t="shared" ca="1" si="65"/>
        <v>93.788395904436854</v>
      </c>
      <c r="P142" s="160">
        <f t="shared" ca="1" si="66"/>
        <v>73.672922252010721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29300</v>
      </c>
      <c r="M144" s="173">
        <f ca="1">IFERROR(__xludf.DUMMYFUNCTION("IMPORTRANGE(""https://docs.google.com/spreadsheets/d/1Yj_ptqi66GCucihVvJfMjLAmec39IyEx_6qawtMGysU/edit?usp=sharing"",""สบก!BJ90"")"),37300)</f>
        <v>37300</v>
      </c>
      <c r="N144" s="174">
        <f ca="1">IFERROR(__xludf.DUMMYFUNCTION("IMPORTRANGE(""https://docs.google.com/spreadsheets/d/1Yj_ptqi66GCucihVvJfMjLAmec39IyEx_6qawtMGysU/edit?usp=sharing"",""สบก!BK90"")"),27480)</f>
        <v>27480</v>
      </c>
      <c r="O144" s="175">
        <f ca="1">IF(L144&gt;0,N144*100/L144,0)</f>
        <v>93.788395904436854</v>
      </c>
      <c r="P144" s="175">
        <f ca="1">IF(M144&gt;0,N144*100/M144,0)</f>
        <v>73.672922252010721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IFERROR(__xludf.DUMMYFUNCTION("IMPORTRANGE(""https://docs.google.com/spreadsheets/d/1Yj_ptqi66GCucihVvJfMjLAmec39IyEx_6qawtMGysU/edit?usp=sharing"",""สบก!BF90"")"),0)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IFERROR(__xludf.DUMMYFUNCTION("IMPORTRANGE(""https://docs.google.com/spreadsheets/d/1Yj_ptqi66GCucihVvJfMjLAmec39IyEx_6qawtMGysU/edit?usp=sharing"",""สบก!BG90"")"),29300)</f>
        <v>29300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IFERROR(__xludf.DUMMYFUNCTION("IMPORTRANGE(""https://docs.google.com/spreadsheets/d/1IYY_tgx_IHuhSq3AJ5eI5OnqOPBNLWSHKh2a30DoXe8/edit?usp=sharing"",""ยะลา!I74"")"),4)</f>
        <v>4</v>
      </c>
      <c r="J149" s="281">
        <f ca="1">IFERROR(__xludf.DUMMYFUNCTION("IMPORTRANGE(""https://docs.google.com/spreadsheets/d/1IYY_tgx_IHuhSq3AJ5eI5OnqOPBNLWSHKh2a30DoXe8/edit?usp=sharing"",""ยะลา!J74"")"),3)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IFERROR(__xludf.DUMMYFUNCTION("IMPORTRANGE(""https://docs.google.com/spreadsheets/d/1IYY_tgx_IHuhSq3AJ5eI5OnqOPBNLWSHKh2a30DoXe8/edit?usp=sharing"",""ยะลา!J79"")"),0)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IFERROR(__xludf.DUMMYFUNCTION("IMPORTRANGE(""https://docs.google.com/spreadsheets/d/1IYY_tgx_IHuhSq3AJ5eI5OnqOPBNLWSHKh2a30DoXe8/edit?usp=sharing"",""ยะลา!J80"")"),1)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IFERROR(__xludf.DUMMYFUNCTION("IMPORTRANGE(""https://docs.google.com/spreadsheets/d/1IYY_tgx_IHuhSq3AJ5eI5OnqOPBNLWSHKh2a30DoXe8/edit?usp=sharing"",""ยะลา!J81"")"),1)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IFERROR(__xludf.DUMMYFUNCTION("IMPORTRANGE(""https://docs.google.com/spreadsheets/d/1IYY_tgx_IHuhSq3AJ5eI5OnqOPBNLWSHKh2a30DoXe8/edit?usp=sharing"",""ยะลา!J82"")"),1)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IFERROR(__xludf.DUMMYFUNCTION("IMPORTRANGE(""https://docs.google.com/spreadsheets/d/1IYY_tgx_IHuhSq3AJ5eI5OnqOPBNLWSHKh2a30DoXe8/edit?usp=sharing"",""ยะลา!I83"")"),4)</f>
        <v>4</v>
      </c>
      <c r="J158" s="195">
        <f ca="1">IFERROR(__xludf.DUMMYFUNCTION("IMPORTRANGE(""https://docs.google.com/spreadsheets/d/1IYY_tgx_IHuhSq3AJ5eI5OnqOPBNLWSHKh2a30DoXe8/edit?usp=sharing"",""ยะลา!J83"")"),3)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IFERROR(__xludf.DUMMYFUNCTION("IMPORTRANGE(""https://docs.google.com/spreadsheets/d/1IYY_tgx_IHuhSq3AJ5eI5OnqOPBNLWSHKh2a30DoXe8/edit?usp=sharing"",""ยะลา!J84"")"),228)</f>
        <v>228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IFERROR(__xludf.DUMMYFUNCTION("IMPORTRANGE(""https://docs.google.com/spreadsheets/d/1IYY_tgx_IHuhSq3AJ5eI5OnqOPBNLWSHKh2a30DoXe8/edit?usp=sharing"",""ยะลา!J85"")"),228)</f>
        <v>228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IFERROR(__xludf.DUMMYFUNCTION("IMPORTRANGE(""https://docs.google.com/spreadsheets/d/1IYY_tgx_IHuhSq3AJ5eI5OnqOPBNLWSHKh2a30DoXe8/edit?usp=sharing"",""ยะลา!J86"")"),0)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IFERROR(__xludf.DUMMYFUNCTION("IMPORTRANGE(""https://docs.google.com/spreadsheets/d/1IYY_tgx_IHuhSq3AJ5eI5OnqOPBNLWSHKh2a30DoXe8/edit?usp=sharing"",""ยะลา!J87"")"),0)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IFERROR(__xludf.DUMMYFUNCTION("IMPORTRANGE(""https://docs.google.com/spreadsheets/d/1IYY_tgx_IHuhSq3AJ5eI5OnqOPBNLWSHKh2a30DoXe8/edit?usp=sharing"",""ยะลา!J88"")"),0)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IFERROR(__xludf.DUMMYFUNCTION("IMPORTRANGE(""https://docs.google.com/spreadsheets/d/1IYY_tgx_IHuhSq3AJ5eI5OnqOPBNLWSHKh2a30DoXe8/edit?usp=sharing"",""ยะลา!J94"")"),0)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IFERROR(__xludf.DUMMYFUNCTION("IMPORTRANGE(""https://docs.google.com/spreadsheets/d/1IYY_tgx_IHuhSq3AJ5eI5OnqOPBNLWSHKh2a30DoXe8/edit?usp=sharing"",""ยะลา!J95"")"),1)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IFERROR(__xludf.DUMMYFUNCTION("IMPORTRANGE(""https://docs.google.com/spreadsheets/d/1IYY_tgx_IHuhSq3AJ5eI5OnqOPBNLWSHKh2a30DoXe8/edit?usp=sharing"",""ยะลา!J96"")"),1)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IFERROR(__xludf.DUMMYFUNCTION("IMPORTRANGE(""https://docs.google.com/spreadsheets/d/1IYY_tgx_IHuhSq3AJ5eI5OnqOPBNLWSHKh2a30DoXe8/edit?usp=sharing"",""ยะลา!J97"")"),1)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IFERROR(__xludf.DUMMYFUNCTION("IMPORTRANGE(""https://docs.google.com/spreadsheets/d/1IYY_tgx_IHuhSq3AJ5eI5OnqOPBNLWSHKh2a30DoXe8/edit?usp=sharing"",""ยะลา!I98"")"),1)</f>
        <v>1</v>
      </c>
      <c r="J173" s="195">
        <f ca="1">IFERROR(__xludf.DUMMYFUNCTION("IMPORTRANGE(""https://docs.google.com/spreadsheets/d/1IYY_tgx_IHuhSq3AJ5eI5OnqOPBNLWSHKh2a30DoXe8/edit?usp=sharing"",""ยะลา!J98"")"),1)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IFERROR(__xludf.DUMMYFUNCTION("IMPORTRANGE(""https://docs.google.com/spreadsheets/d/1IYY_tgx_IHuhSq3AJ5eI5OnqOPBNLWSHKh2a30DoXe8/edit?usp=sharing"",""ยะลา!J99"")"),0)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IFERROR(__xludf.DUMMYFUNCTION("IMPORTRANGE(""https://docs.google.com/spreadsheets/d/1IYY_tgx_IHuhSq3AJ5eI5OnqOPBNLWSHKh2a30DoXe8/edit?usp=sharing"",""ยะลา!J100"")"),0)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IFERROR(__xludf.DUMMYFUNCTION("IMPORTRANGE(""https://docs.google.com/spreadsheets/d/1IYY_tgx_IHuhSq3AJ5eI5OnqOPBNLWSHKh2a30DoXe8/edit?usp=sharing"",""ยะลา!J106"")"),0)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IFERROR(__xludf.DUMMYFUNCTION("IMPORTRANGE(""https://docs.google.com/spreadsheets/d/1IYY_tgx_IHuhSq3AJ5eI5OnqOPBNLWSHKh2a30DoXe8/edit?usp=sharing"",""ยะลา!J107"")"),0)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IFERROR(__xludf.DUMMYFUNCTION("IMPORTRANGE(""https://docs.google.com/spreadsheets/d/1IYY_tgx_IHuhSq3AJ5eI5OnqOPBNLWSHKh2a30DoXe8/edit?usp=sharing"",""ยะลา!J108"")"),0)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IFERROR(__xludf.DUMMYFUNCTION("IMPORTRANGE(""https://docs.google.com/spreadsheets/d/1IYY_tgx_IHuhSq3AJ5eI5OnqOPBNLWSHKh2a30DoXe8/edit?usp=sharing"",""ยะลา!J109"")"),0)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IFERROR(__xludf.DUMMYFUNCTION("IMPORTRANGE(""https://docs.google.com/spreadsheets/d/1IYY_tgx_IHuhSq3AJ5eI5OnqOPBNLWSHKh2a30DoXe8/edit?usp=sharing"",""ยะลา!I110"")"),0)</f>
        <v>0</v>
      </c>
      <c r="J185" s="210">
        <f ca="1">IFERROR(__xludf.DUMMYFUNCTION("IMPORTRANGE(""https://docs.google.com/spreadsheets/d/1IYY_tgx_IHuhSq3AJ5eI5OnqOPBNLWSHKh2a30DoXe8/edit?usp=sharing"",""ยะลา!J110"")"),0)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IFERROR(__xludf.DUMMYFUNCTION("IMPORTRANGE(""https://docs.google.com/spreadsheets/d/1IYY_tgx_IHuhSq3AJ5eI5OnqOPBNLWSHKh2a30DoXe8/edit?usp=sharing"",""ยะลา!I111"")"),0)</f>
        <v>0</v>
      </c>
      <c r="J186" s="210">
        <f ca="1">IFERROR(__xludf.DUMMYFUNCTION("IMPORTRANGE(""https://docs.google.com/spreadsheets/d/1IYY_tgx_IHuhSq3AJ5eI5OnqOPBNLWSHKh2a30DoXe8/edit?usp=sharing"",""ยะลา!J111"")"),0)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IFERROR(__xludf.DUMMYFUNCTION("IMPORTRANGE(""https://docs.google.com/spreadsheets/d/1IYY_tgx_IHuhSq3AJ5eI5OnqOPBNLWSHKh2a30DoXe8/edit?usp=sharing"",""ยะลา!J112"")"),0)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IFERROR(__xludf.DUMMYFUNCTION("IMPORTRANGE(""https://docs.google.com/spreadsheets/d/1IYY_tgx_IHuhSq3AJ5eI5OnqOPBNLWSHKh2a30DoXe8/edit?usp=sharing"",""ยะลา!J113"")"),0)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IFERROR(__xludf.DUMMYFUNCTION("IMPORTRANGE(""https://docs.google.com/spreadsheets/d/1IYY_tgx_IHuhSq3AJ5eI5OnqOPBNLWSHKh2a30DoXe8/edit?usp=sharing"",""ยะลา!J114"")"),12000)</f>
        <v>12000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IFERROR(__xludf.DUMMYFUNCTION("IMPORTRANGE(""https://docs.google.com/spreadsheets/d/1IYY_tgx_IHuhSq3AJ5eI5OnqOPBNLWSHKh2a30DoXe8/edit?usp=sharing"",""ยะลา!J119"")"),1)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IFERROR(__xludf.DUMMYFUNCTION("IMPORTRANGE(""https://docs.google.com/spreadsheets/d/1IYY_tgx_IHuhSq3AJ5eI5OnqOPBNLWSHKh2a30DoXe8/edit?usp=sharing"",""ยะลา!J120"")"),1)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IFERROR(__xludf.DUMMYFUNCTION("IMPORTRANGE(""https://docs.google.com/spreadsheets/d/1IYY_tgx_IHuhSq3AJ5eI5OnqOPBNLWSHKh2a30DoXe8/edit?usp=sharing"",""ยะลา!J121"")"),1)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IFERROR(__xludf.DUMMYFUNCTION("IMPORTRANGE(""https://docs.google.com/spreadsheets/d/1IYY_tgx_IHuhSq3AJ5eI5OnqOPBNLWSHKh2a30DoXe8/edit?usp=sharing"",""ยะลา!J122"")"),1)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IFERROR(__xludf.DUMMYFUNCTION("IMPORTRANGE(""https://docs.google.com/spreadsheets/d/1IYY_tgx_IHuhSq3AJ5eI5OnqOPBNLWSHKh2a30DoXe8/edit?usp=sharing"",""ยะลา!I124"")"),12000)</f>
        <v>12000</v>
      </c>
      <c r="J199" s="195">
        <f ca="1">IFERROR(__xludf.DUMMYFUNCTION("IMPORTRANGE(""https://docs.google.com/spreadsheets/d/1IYY_tgx_IHuhSq3AJ5eI5OnqOPBNLWSHKh2a30DoXe8/edit?usp=sharing"",""ยะลา!J124"")"),12000)</f>
        <v>12000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IFERROR(__xludf.DUMMYFUNCTION("IMPORTRANGE(""https://docs.google.com/spreadsheets/d/1IYY_tgx_IHuhSq3AJ5eI5OnqOPBNLWSHKh2a30DoXe8/edit?usp=sharing"",""ยะลา!I125"")"),12000)</f>
        <v>12000</v>
      </c>
      <c r="J200" s="195">
        <f ca="1">IFERROR(__xludf.DUMMYFUNCTION("IMPORTRANGE(""https://docs.google.com/spreadsheets/d/1IYY_tgx_IHuhSq3AJ5eI5OnqOPBNLWSHKh2a30DoXe8/edit?usp=sharing"",""ยะลา!J125"")"),12000)</f>
        <v>12000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IFERROR(__xludf.DUMMYFUNCTION("IMPORTRANGE(""https://docs.google.com/spreadsheets/d/1IYY_tgx_IHuhSq3AJ5eI5OnqOPBNLWSHKh2a30DoXe8/edit?usp=sharing"",""ยะลา!I126"")"),0)</f>
        <v>0</v>
      </c>
      <c r="J201" s="195">
        <f ca="1">IFERROR(__xludf.DUMMYFUNCTION("IMPORTRANGE(""https://docs.google.com/spreadsheets/d/1IYY_tgx_IHuhSq3AJ5eI5OnqOPBNLWSHKh2a30DoXe8/edit?usp=sharing"",""ยะลา!J126"")"),0)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IFERROR(__xludf.DUMMYFUNCTION("IMPORTRANGE(""https://docs.google.com/spreadsheets/d/1IYY_tgx_IHuhSq3AJ5eI5OnqOPBNLWSHKh2a30DoXe8/edit?usp=sharing"",""ยะลา!J127"")"),0)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IFERROR(__xludf.DUMMYFUNCTION("IMPORTRANGE(""https://docs.google.com/spreadsheets/d/1IYY_tgx_IHuhSq3AJ5eI5OnqOPBNLWSHKh2a30DoXe8/edit?usp=sharing"",""ยะลา!J128"")"),0)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IFERROR(__xludf.DUMMYFUNCTION("IMPORTRANGE(""https://docs.google.com/spreadsheets/d/1IYY_tgx_IHuhSq3AJ5eI5OnqOPBNLWSHKh2a30DoXe8/edit?usp=sharing"",""ยะลา!J134"")"),0)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IFERROR(__xludf.DUMMYFUNCTION("IMPORTRANGE(""https://docs.google.com/spreadsheets/d/1IYY_tgx_IHuhSq3AJ5eI5OnqOPBNLWSHKh2a30DoXe8/edit?usp=sharing"",""ยะลา!J135"")"),0)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IFERROR(__xludf.DUMMYFUNCTION("IMPORTRANGE(""https://docs.google.com/spreadsheets/d/1IYY_tgx_IHuhSq3AJ5eI5OnqOPBNLWSHKh2a30DoXe8/edit?usp=sharing"",""ยะลา!J136"")"),0)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IFERROR(__xludf.DUMMYFUNCTION("IMPORTRANGE(""https://docs.google.com/spreadsheets/d/1IYY_tgx_IHuhSq3AJ5eI5OnqOPBNLWSHKh2a30DoXe8/edit?usp=sharing"",""ยะลา!J137"")"),0)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IFERROR(__xludf.DUMMYFUNCTION("IMPORTRANGE(""https://docs.google.com/spreadsheets/d/1IYY_tgx_IHuhSq3AJ5eI5OnqOPBNLWSHKh2a30DoXe8/edit?usp=sharing"",""ยะลา!I138"")"),0)</f>
        <v>0</v>
      </c>
      <c r="J213" s="210">
        <f ca="1">IFERROR(__xludf.DUMMYFUNCTION("IMPORTRANGE(""https://docs.google.com/spreadsheets/d/1IYY_tgx_IHuhSq3AJ5eI5OnqOPBNLWSHKh2a30DoXe8/edit?usp=sharing"",""ยะลา!J138"")"),0)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IFERROR(__xludf.DUMMYFUNCTION("IMPORTRANGE(""https://docs.google.com/spreadsheets/d/1IYY_tgx_IHuhSq3AJ5eI5OnqOPBNLWSHKh2a30DoXe8/edit?usp=sharing"",""ยะลา!I140"")"),0)</f>
        <v>0</v>
      </c>
      <c r="J215" s="210">
        <f ca="1">IFERROR(__xludf.DUMMYFUNCTION("IMPORTRANGE(""https://docs.google.com/spreadsheets/d/1IYY_tgx_IHuhSq3AJ5eI5OnqOPBNLWSHKh2a30DoXe8/edit?usp=sharing"",""ยะลา!J140"")"),0)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IFERROR(__xludf.DUMMYFUNCTION("IMPORTRANGE(""https://docs.google.com/spreadsheets/d/1IYY_tgx_IHuhSq3AJ5eI5OnqOPBNLWSHKh2a30DoXe8/edit?usp=sharing"",""ยะลา!I141"")"),0)</f>
        <v>0</v>
      </c>
      <c r="J216" s="210">
        <f ca="1">IFERROR(__xludf.DUMMYFUNCTION("IMPORTRANGE(""https://docs.google.com/spreadsheets/d/1IYY_tgx_IHuhSq3AJ5eI5OnqOPBNLWSHKh2a30DoXe8/edit?usp=sharing"",""ยะลา!J141"")"),0)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IFERROR(__xludf.DUMMYFUNCTION("IMPORTRANGE(""https://docs.google.com/spreadsheets/d/1IYY_tgx_IHuhSq3AJ5eI5OnqOPBNLWSHKh2a30DoXe8/edit?usp=sharing"",""ยะลา!J142"")"),0)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IFERROR(__xludf.DUMMYFUNCTION("IMPORTRANGE(""https://docs.google.com/spreadsheets/d/1IYY_tgx_IHuhSq3AJ5eI5OnqOPBNLWSHKh2a30DoXe8/edit?usp=sharing"",""ยะลา!J143"")"),0)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IFERROR(__xludf.DUMMYFUNCTION("IMPORTRANGE(""https://docs.google.com/spreadsheets/d/1IYY_tgx_IHuhSq3AJ5eI5OnqOPBNLWSHKh2a30DoXe8/edit?usp=sharing"",""ยะลา!I144"")"),15)</f>
        <v>15</v>
      </c>
      <c r="J219" s="273">
        <f ca="1">IFERROR(__xludf.DUMMYFUNCTION("IMPORTRANGE(""https://docs.google.com/spreadsheets/d/1IYY_tgx_IHuhSq3AJ5eI5OnqOPBNLWSHKh2a30DoXe8/edit?usp=sharing"",""ยะลา!J144"")"),15)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34825</v>
      </c>
      <c r="N220" s="156">
        <f t="shared" ca="1" si="72"/>
        <v>34825</v>
      </c>
      <c r="O220" s="155">
        <f t="shared" ref="O220:O222" ca="1" si="73">IF(L220&gt;0,N220*100/L220,0)</f>
        <v>164.85207100591717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34825</v>
      </c>
      <c r="N222" s="161">
        <f t="shared" ca="1" si="76"/>
        <v>34825</v>
      </c>
      <c r="O222" s="160">
        <f t="shared" ca="1" si="73"/>
        <v>164.85207100591717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IFERROR(__xludf.DUMMYFUNCTION("IMPORTRANGE(""https://docs.google.com/spreadsheets/d/1Yj_ptqi66GCucihVvJfMjLAmec39IyEx_6qawtMGysU/edit?usp=sharing"",""สบก!BS90"")"),34825)</f>
        <v>34825</v>
      </c>
      <c r="N224" s="174">
        <f ca="1">IFERROR(__xludf.DUMMYFUNCTION("IMPORTRANGE(""https://docs.google.com/spreadsheets/d/1Yj_ptqi66GCucihVvJfMjLAmec39IyEx_6qawtMGysU/edit?usp=sharing"",""สบก!BT90"")"),34825)</f>
        <v>34825</v>
      </c>
      <c r="O224" s="175">
        <f ca="1">IF(L224&gt;0,N224*100/L224,0)</f>
        <v>164.85207100591717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IFERROR(__xludf.DUMMYFUNCTION("IMPORTRANGE(""https://docs.google.com/spreadsheets/d/1Yj_ptqi66GCucihVvJfMjLAmec39IyEx_6qawtMGysU/edit?usp=sharing"",""สบก!BO90"")"),0)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IFERROR(__xludf.DUMMYFUNCTION("IMPORTRANGE(""https://docs.google.com/spreadsheets/d/1Yj_ptqi66GCucihVvJfMjLAmec39IyEx_6qawtMGysU/edit?usp=sharing"",""สบก!BP90"")"),21125)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IFERROR(__xludf.DUMMYFUNCTION("IMPORTRANGE(""https://docs.google.com/spreadsheets/d/1IYY_tgx_IHuhSq3AJ5eI5OnqOPBNLWSHKh2a30DoXe8/edit?usp=sharing"",""ยะลา!I149"")"),15)</f>
        <v>15</v>
      </c>
      <c r="J229" s="273">
        <f ca="1">IFERROR(__xludf.DUMMYFUNCTION("IMPORTRANGE(""https://docs.google.com/spreadsheets/d/1IYY_tgx_IHuhSq3AJ5eI5OnqOPBNLWSHKh2a30DoXe8/edit?usp=sharing"",""ยะลา!J149"")"),15)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IFERROR(__xludf.DUMMYFUNCTION("IMPORTRANGE(""https://docs.google.com/spreadsheets/d/1IYY_tgx_IHuhSq3AJ5eI5OnqOPBNLWSHKh2a30DoXe8/edit?usp=sharing"",""ยะลา!J151"")"),0)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IFERROR(__xludf.DUMMYFUNCTION("IMPORTRANGE(""https://docs.google.com/spreadsheets/d/1IYY_tgx_IHuhSq3AJ5eI5OnqOPBNLWSHKh2a30DoXe8/edit?usp=sharing"",""ยะลา!J152"")"),1)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IFERROR(__xludf.DUMMYFUNCTION("IMPORTRANGE(""https://docs.google.com/spreadsheets/d/1IYY_tgx_IHuhSq3AJ5eI5OnqOPBNLWSHKh2a30DoXe8/edit?usp=sharing"",""ยะลา!J153"")"),1)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IFERROR(__xludf.DUMMYFUNCTION("IMPORTRANGE(""https://docs.google.com/spreadsheets/d/1IYY_tgx_IHuhSq3AJ5eI5OnqOPBNLWSHKh2a30DoXe8/edit?usp=sharing"",""ยะลา!J154"")"),1)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IFERROR(__xludf.DUMMYFUNCTION("IMPORTRANGE(""https://docs.google.com/spreadsheets/d/1IYY_tgx_IHuhSq3AJ5eI5OnqOPBNLWSHKh2a30DoXe8/edit?usp=sharing"",""ยะลา!I155"")"),15)</f>
        <v>15</v>
      </c>
      <c r="J235" s="195">
        <f ca="1">IFERROR(__xludf.DUMMYFUNCTION("IMPORTRANGE(""https://docs.google.com/spreadsheets/d/1IYY_tgx_IHuhSq3AJ5eI5OnqOPBNLWSHKh2a30DoXe8/edit?usp=sharing"",""ยะลา!J155"")"),15)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IFERROR(__xludf.DUMMYFUNCTION("IMPORTRANGE(""https://docs.google.com/spreadsheets/d/1IYY_tgx_IHuhSq3AJ5eI5OnqOPBNLWSHKh2a30DoXe8/edit?usp=sharing"",""ยะลา!J156"")"),0)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IFERROR(__xludf.DUMMYFUNCTION("IMPORTRANGE(""https://docs.google.com/spreadsheets/d/1IYY_tgx_IHuhSq3AJ5eI5OnqOPBNLWSHKh2a30DoXe8/edit?usp=sharing"",""ยะลา!J157"")"),0)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IFERROR(__xludf.DUMMYFUNCTION("IMPORTRANGE(""https://docs.google.com/spreadsheets/d/1IYY_tgx_IHuhSq3AJ5eI5OnqOPBNLWSHKh2a30DoXe8/edit?usp=sharing"",""ยะลา!I158"")"),0)</f>
        <v>0</v>
      </c>
      <c r="J238" s="273">
        <f ca="1">IFERROR(__xludf.DUMMYFUNCTION("IMPORTRANGE(""https://docs.google.com/spreadsheets/d/1IYY_tgx_IHuhSq3AJ5eI5OnqOPBNLWSHKh2a30DoXe8/edit?usp=sharing"",""ยะลา!J158"")"),0)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IFERROR(__xludf.DUMMYFUNCTION("IMPORTRANGE(""https://docs.google.com/spreadsheets/d/1IYY_tgx_IHuhSq3AJ5eI5OnqOPBNLWSHKh2a30DoXe8/edit?usp=sharing"",""ยะลา!J159"")"),"")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IFERROR(__xludf.DUMMYFUNCTION("IMPORTRANGE(""https://docs.google.com/spreadsheets/d/1IYY_tgx_IHuhSq3AJ5eI5OnqOPBNLWSHKh2a30DoXe8/edit?usp=sharing"",""ยะลา!J161"")"),0)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IFERROR(__xludf.DUMMYFUNCTION("IMPORTRANGE(""https://docs.google.com/spreadsheets/d/1IYY_tgx_IHuhSq3AJ5eI5OnqOPBNLWSHKh2a30DoXe8/edit?usp=sharing"",""ยะลา!J162"")"),0)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IFERROR(__xludf.DUMMYFUNCTION("IMPORTRANGE(""https://docs.google.com/spreadsheets/d/1IYY_tgx_IHuhSq3AJ5eI5OnqOPBNLWSHKh2a30DoXe8/edit?usp=sharing"",""ยะลา!J163"")"),0)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IFERROR(__xludf.DUMMYFUNCTION("IMPORTRANGE(""https://docs.google.com/spreadsheets/d/1IYY_tgx_IHuhSq3AJ5eI5OnqOPBNLWSHKh2a30DoXe8/edit?usp=sharing"",""ยะลา!I164"")"),0)</f>
        <v>0</v>
      </c>
      <c r="J244" s="194">
        <f ca="1">IFERROR(__xludf.DUMMYFUNCTION("IMPORTRANGE(""https://docs.google.com/spreadsheets/d/1IYY_tgx_IHuhSq3AJ5eI5OnqOPBNLWSHKh2a30DoXe8/edit?usp=sharing"",""ยะลา!J164"")"),0)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IFERROR(__xludf.DUMMYFUNCTION("IMPORTRANGE(""https://docs.google.com/spreadsheets/d/1IYY_tgx_IHuhSq3AJ5eI5OnqOPBNLWSHKh2a30DoXe8/edit?usp=sharing"",""ยะลา!J165"")"),0)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IFERROR(__xludf.DUMMYFUNCTION("IMPORTRANGE(""https://docs.google.com/spreadsheets/d/1Yj_ptqi66GCucihVvJfMjLAmec39IyEx_6qawtMGysU/edit?usp=sharing"",""สบก!CB90"")"),0)</f>
        <v>0</v>
      </c>
      <c r="N254" s="174">
        <f ca="1">IFERROR(__xludf.DUMMYFUNCTION("IMPORTRANGE(""https://docs.google.com/spreadsheets/d/1Yj_ptqi66GCucihVvJfMjLAmec39IyEx_6qawtMGysU/edit?usp=sharing"",""สบก!CC90"")"),0)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IFERROR(__xludf.DUMMYFUNCTION("IMPORTRANGE(""https://docs.google.com/spreadsheets/d/1Yj_ptqi66GCucihVvJfMjLAmec39IyEx_6qawtMGysU/edit?usp=sharing"",""สบก!BX90"")"),0)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IFERROR(__xludf.DUMMYFUNCTION("IMPORTRANGE(""https://docs.google.com/spreadsheets/d/1Yj_ptqi66GCucihVvJfMjLAmec39IyEx_6qawtMGysU/edit?usp=sharing"",""สบก!BY90"")"),0)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IFERROR(__xludf.DUMMYFUNCTION("IMPORTRANGE(""https://docs.google.com/spreadsheets/d/1IYY_tgx_IHuhSq3AJ5eI5OnqOPBNLWSHKh2a30DoXe8/edit?usp=sharing"",""ยะลา!J175"")"),0)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IFERROR(__xludf.DUMMYFUNCTION("IMPORTRANGE(""https://docs.google.com/spreadsheets/d/1IYY_tgx_IHuhSq3AJ5eI5OnqOPBNLWSHKh2a30DoXe8/edit?usp=sharing"",""ยะลา!J176"")"),0)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IFERROR(__xludf.DUMMYFUNCTION("IMPORTRANGE(""https://docs.google.com/spreadsheets/d/1IYY_tgx_IHuhSq3AJ5eI5OnqOPBNLWSHKh2a30DoXe8/edit?usp=sharing"",""ยะลา!J177"")"),0)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IFERROR(__xludf.DUMMYFUNCTION("IMPORTRANGE(""https://docs.google.com/spreadsheets/d/1IYY_tgx_IHuhSq3AJ5eI5OnqOPBNLWSHKh2a30DoXe8/edit?usp=sharing"",""ยะลา!J178"")"),0)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IFERROR(__xludf.DUMMYFUNCTION("IMPORTRANGE(""https://docs.google.com/spreadsheets/d/1IYY_tgx_IHuhSq3AJ5eI5OnqOPBNLWSHKh2a30DoXe8/edit?usp=sharing"",""ยะลา!I179"")"),0)</f>
        <v>0</v>
      </c>
      <c r="J264" s="195">
        <f ca="1">IFERROR(__xludf.DUMMYFUNCTION("IMPORTRANGE(""https://docs.google.com/spreadsheets/d/1IYY_tgx_IHuhSq3AJ5eI5OnqOPBNLWSHKh2a30DoXe8/edit?usp=sharing"",""ยะลา!J179"")"),0)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IFERROR(__xludf.DUMMYFUNCTION("IMPORTRANGE(""https://docs.google.com/spreadsheets/d/1IYY_tgx_IHuhSq3AJ5eI5OnqOPBNLWSHKh2a30DoXe8/edit?usp=sharing"",""ยะลา!I180"")"),0)</f>
        <v>0</v>
      </c>
      <c r="J265" s="195">
        <f ca="1">IFERROR(__xludf.DUMMYFUNCTION("IMPORTRANGE(""https://docs.google.com/spreadsheets/d/1IYY_tgx_IHuhSq3AJ5eI5OnqOPBNLWSHKh2a30DoXe8/edit?usp=sharing"",""ยะลา!J180"")"),0)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IFERROR(__xludf.DUMMYFUNCTION("IMPORTRANGE(""https://docs.google.com/spreadsheets/d/1IYY_tgx_IHuhSq3AJ5eI5OnqOPBNLWSHKh2a30DoXe8/edit?usp=sharing"",""ยะลา!I181"")"),0)</f>
        <v>0</v>
      </c>
      <c r="J266" s="195">
        <f ca="1">IFERROR(__xludf.DUMMYFUNCTION("IMPORTRANGE(""https://docs.google.com/spreadsheets/d/1IYY_tgx_IHuhSq3AJ5eI5OnqOPBNLWSHKh2a30DoXe8/edit?usp=sharing"",""ยะลา!J181"")"),0)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IFERROR(__xludf.DUMMYFUNCTION("IMPORTRANGE(""https://docs.google.com/spreadsheets/d/1IYY_tgx_IHuhSq3AJ5eI5OnqOPBNLWSHKh2a30DoXe8/edit?usp=sharing"",""ยะลา!I182"")"),0)</f>
        <v>0</v>
      </c>
      <c r="J267" s="195">
        <f ca="1">IFERROR(__xludf.DUMMYFUNCTION("IMPORTRANGE(""https://docs.google.com/spreadsheets/d/1IYY_tgx_IHuhSq3AJ5eI5OnqOPBNLWSHKh2a30DoXe8/edit?usp=sharing"",""ยะลา!J182"")"),0)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IFERROR(__xludf.DUMMYFUNCTION("IMPORTRANGE(""https://docs.google.com/spreadsheets/d/1IYY_tgx_IHuhSq3AJ5eI5OnqOPBNLWSHKh2a30DoXe8/edit?usp=sharing"",""ยะลา!J183"")"),0)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IFERROR(__xludf.DUMMYFUNCTION("IMPORTRANGE(""https://docs.google.com/spreadsheets/d/1Yj_ptqi66GCucihVvJfMjLAmec39IyEx_6qawtMGysU/edit?usp=sharing"",""สบก!CK90"")"),0)</f>
        <v>0</v>
      </c>
      <c r="N275" s="174">
        <f ca="1">IFERROR(__xludf.DUMMYFUNCTION("IMPORTRANGE(""https://docs.google.com/spreadsheets/d/1Yj_ptqi66GCucihVvJfMjLAmec39IyEx_6qawtMGysU/edit?usp=sharing"",""สบก!CL90"")"),0)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IFERROR(__xludf.DUMMYFUNCTION("IMPORTRANGE(""https://docs.google.com/spreadsheets/d/1Yj_ptqi66GCucihVvJfMjLAmec39IyEx_6qawtMGysU/edit?usp=sharing"",""สบก!CG90"")"),0)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IFERROR(__xludf.DUMMYFUNCTION("IMPORTRANGE(""https://docs.google.com/spreadsheets/d/1Yj_ptqi66GCucihVvJfMjLAmec39IyEx_6qawtMGysU/edit?usp=sharing"",""สบก!CH90"")"),0)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IFERROR(__xludf.DUMMYFUNCTION("IMPORTRANGE(""https://docs.google.com/spreadsheets/d/1IYY_tgx_IHuhSq3AJ5eI5OnqOPBNLWSHKh2a30DoXe8/edit?usp=sharing"",""ยะลา!J191"")"),0)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IFERROR(__xludf.DUMMYFUNCTION("IMPORTRANGE(""https://docs.google.com/spreadsheets/d/1IYY_tgx_IHuhSq3AJ5eI5OnqOPBNLWSHKh2a30DoXe8/edit?usp=sharing"",""ยะลา!J192"")"),0)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IFERROR(__xludf.DUMMYFUNCTION("IMPORTRANGE(""https://docs.google.com/spreadsheets/d/1IYY_tgx_IHuhSq3AJ5eI5OnqOPBNLWSHKh2a30DoXe8/edit?usp=sharing"",""ยะลา!J193"")"),0)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IFERROR(__xludf.DUMMYFUNCTION("IMPORTRANGE(""https://docs.google.com/spreadsheets/d/1IYY_tgx_IHuhSq3AJ5eI5OnqOPBNLWSHKh2a30DoXe8/edit?usp=sharing"",""ยะลา!J194"")"),0)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IFERROR(__xludf.DUMMYFUNCTION("IMPORTRANGE(""https://docs.google.com/spreadsheets/d/1IYY_tgx_IHuhSq3AJ5eI5OnqOPBNLWSHKh2a30DoXe8/edit?usp=sharing"",""ยะลา!I195"")"),0)</f>
        <v>0</v>
      </c>
      <c r="J285" s="195">
        <f ca="1">IFERROR(__xludf.DUMMYFUNCTION("IMPORTRANGE(""https://docs.google.com/spreadsheets/d/1IYY_tgx_IHuhSq3AJ5eI5OnqOPBNLWSHKh2a30DoXe8/edit?usp=sharing"",""ยะลา!J195"")"),0)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IFERROR(__xludf.DUMMYFUNCTION("IMPORTRANGE(""https://docs.google.com/spreadsheets/d/1IYY_tgx_IHuhSq3AJ5eI5OnqOPBNLWSHKh2a30DoXe8/edit?usp=sharing"",""ยะลา!J196"")"),0)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IFERROR(__xludf.DUMMYFUNCTION("IMPORTRANGE(""https://docs.google.com/spreadsheets/d/1IYY_tgx_IHuhSq3AJ5eI5OnqOPBNLWSHKh2a30DoXe8/edit?usp=sharing"",""ยะลา!J197"")"),0)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IFERROR(__xludf.DUMMYFUNCTION("IMPORTRANGE(""https://docs.google.com/spreadsheets/d/1Yj_ptqi66GCucihVvJfMjLAmec39IyEx_6qawtMGysU/edit?usp=sharing"",""สบก!CT90"")"),0)</f>
        <v>0</v>
      </c>
      <c r="N294" s="174">
        <f ca="1">IFERROR(__xludf.DUMMYFUNCTION("IMPORTRANGE(""https://docs.google.com/spreadsheets/d/1Yj_ptqi66GCucihVvJfMjLAmec39IyEx_6qawtMGysU/edit?usp=sharing"",""สบก!CU90"")"),0)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IFERROR(__xludf.DUMMYFUNCTION("IMPORTRANGE(""https://docs.google.com/spreadsheets/d/1Yj_ptqi66GCucihVvJfMjLAmec39IyEx_6qawtMGysU/edit?usp=sharing"",""สบก!CP90"")"),0)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IFERROR(__xludf.DUMMYFUNCTION("IMPORTRANGE(""https://docs.google.com/spreadsheets/d/1Yj_ptqi66GCucihVvJfMjLAmec39IyEx_6qawtMGysU/edit?usp=sharing"",""สบก!CQ90"")"),0)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IFERROR(__xludf.DUMMYFUNCTION("IMPORTRANGE(""https://docs.google.com/spreadsheets/d/1IYY_tgx_IHuhSq3AJ5eI5OnqOPBNLWSHKh2a30DoXe8/edit?usp=sharing"",""ยะลา!J205"")"),0)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IFERROR(__xludf.DUMMYFUNCTION("IMPORTRANGE(""https://docs.google.com/spreadsheets/d/1IYY_tgx_IHuhSq3AJ5eI5OnqOPBNLWSHKh2a30DoXe8/edit?usp=sharing"",""ยะลา!J206"")"),0)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IFERROR(__xludf.DUMMYFUNCTION("IMPORTRANGE(""https://docs.google.com/spreadsheets/d/1IYY_tgx_IHuhSq3AJ5eI5OnqOPBNLWSHKh2a30DoXe8/edit?usp=sharing"",""ยะลา!J207"")"),0)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IFERROR(__xludf.DUMMYFUNCTION("IMPORTRANGE(""https://docs.google.com/spreadsheets/d/1IYY_tgx_IHuhSq3AJ5eI5OnqOPBNLWSHKh2a30DoXe8/edit?usp=sharing"",""ยะลา!J208"")"),0)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IFERROR(__xludf.DUMMYFUNCTION("IMPORTRANGE(""https://docs.google.com/spreadsheets/d/1IYY_tgx_IHuhSq3AJ5eI5OnqOPBNLWSHKh2a30DoXe8/edit?usp=sharing"",""ยะลา!I209"")"),0)</f>
        <v>0</v>
      </c>
      <c r="J304" s="210">
        <f ca="1">IFERROR(__xludf.DUMMYFUNCTION("IMPORTRANGE(""https://docs.google.com/spreadsheets/d/1IYY_tgx_IHuhSq3AJ5eI5OnqOPBNLWSHKh2a30DoXe8/edit?usp=sharing"",""ยะลา!J209"")"),0)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IFERROR(__xludf.DUMMYFUNCTION("IMPORTRANGE(""https://docs.google.com/spreadsheets/d/1IYY_tgx_IHuhSq3AJ5eI5OnqOPBNLWSHKh2a30DoXe8/edit?usp=sharing"",""ยะลา!I211"")"),0)</f>
        <v>0</v>
      </c>
      <c r="J306" s="210">
        <f ca="1">IFERROR(__xludf.DUMMYFUNCTION("IMPORTRANGE(""https://docs.google.com/spreadsheets/d/1IYY_tgx_IHuhSq3AJ5eI5OnqOPBNLWSHKh2a30DoXe8/edit?usp=sharing"",""ยะลา!J211"")"),0)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IFERROR(__xludf.DUMMYFUNCTION("IMPORTRANGE(""https://docs.google.com/spreadsheets/d/1IYY_tgx_IHuhSq3AJ5eI5OnqOPBNLWSHKh2a30DoXe8/edit?usp=sharing"",""ยะลา!J212"")"),0)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IFERROR(__xludf.DUMMYFUNCTION("IMPORTRANGE(""https://docs.google.com/spreadsheets/d/1Yj_ptqi66GCucihVvJfMjLAmec39IyEx_6qawtMGysU/edit?usp=sharing"",""สบก!DC90"")"),0)</f>
        <v>0</v>
      </c>
      <c r="N314" s="174">
        <f ca="1">IFERROR(__xludf.DUMMYFUNCTION("IMPORTRANGE(""https://docs.google.com/spreadsheets/d/1Yj_ptqi66GCucihVvJfMjLAmec39IyEx_6qawtMGysU/edit?usp=sharing"",""สบก!DD90"")"),0)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IFERROR(__xludf.DUMMYFUNCTION("IMPORTRANGE(""https://docs.google.com/spreadsheets/d/1Yj_ptqi66GCucihVvJfMjLAmec39IyEx_6qawtMGysU/edit?usp=sharing"",""สบก!CY90"")"),0)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IFERROR(__xludf.DUMMYFUNCTION("IMPORTRANGE(""https://docs.google.com/spreadsheets/d/1Yj_ptqi66GCucihVvJfMjLAmec39IyEx_6qawtMGysU/edit?usp=sharing"",""สบก!CZ90"")"),0)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IFERROR(__xludf.DUMMYFUNCTION("IMPORTRANGE(""https://docs.google.com/spreadsheets/d/1IYY_tgx_IHuhSq3AJ5eI5OnqOPBNLWSHKh2a30DoXe8/edit?usp=sharing"",""ยะลา!J220"")"),0)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IFERROR(__xludf.DUMMYFUNCTION("IMPORTRANGE(""https://docs.google.com/spreadsheets/d/1IYY_tgx_IHuhSq3AJ5eI5OnqOPBNLWSHKh2a30DoXe8/edit?usp=sharing"",""ยะลา!J221"")"),0)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IFERROR(__xludf.DUMMYFUNCTION("IMPORTRANGE(""https://docs.google.com/spreadsheets/d/1IYY_tgx_IHuhSq3AJ5eI5OnqOPBNLWSHKh2a30DoXe8/edit?usp=sharing"",""ยะลา!J222"")"),0)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IFERROR(__xludf.DUMMYFUNCTION("IMPORTRANGE(""https://docs.google.com/spreadsheets/d/1IYY_tgx_IHuhSq3AJ5eI5OnqOPBNLWSHKh2a30DoXe8/edit?usp=sharing"",""ยะลา!J223"")"),0)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IFERROR(__xludf.DUMMYFUNCTION("IMPORTRANGE(""https://docs.google.com/spreadsheets/d/1IYY_tgx_IHuhSq3AJ5eI5OnqOPBNLWSHKh2a30DoXe8/edit?usp=sharing"",""ยะลา!I224"")"),0)</f>
        <v>0</v>
      </c>
      <c r="J324" s="210">
        <f ca="1">IFERROR(__xludf.DUMMYFUNCTION("IMPORTRANGE(""https://docs.google.com/spreadsheets/d/1IYY_tgx_IHuhSq3AJ5eI5OnqOPBNLWSHKh2a30DoXe8/edit?usp=sharing"",""ยะลา!J224"")"),0)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IFERROR(__xludf.DUMMYFUNCTION("IMPORTRANGE(""https://docs.google.com/spreadsheets/d/1IYY_tgx_IHuhSq3AJ5eI5OnqOPBNLWSHKh2a30DoXe8/edit?usp=sharing"",""ยะลา!J225"")"),0)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IFERROR(__xludf.DUMMYFUNCTION("IMPORTRANGE(""https://docs.google.com/spreadsheets/d/1IYY_tgx_IHuhSq3AJ5eI5OnqOPBNLWSHKh2a30DoXe8/edit?usp=sharing"",""ยะลา!J226"")"),0)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IFERROR(__xludf.DUMMYFUNCTION("IMPORTRANGE(""https://docs.google.com/spreadsheets/d/1IYY_tgx_IHuhSq3AJ5eI5OnqOPBNLWSHKh2a30DoXe8/edit?usp=sharing"",""ยะลา!I228"")"),80)</f>
        <v>80</v>
      </c>
      <c r="J328" s="345">
        <f ca="1">IFERROR(__xludf.DUMMYFUNCTION("IMPORTRANGE(""https://docs.google.com/spreadsheets/d/1IYY_tgx_IHuhSq3AJ5eI5OnqOPBNLWSHKh2a30DoXe8/edit?usp=sharing"",""ยะลา!J228"")"),108)</f>
        <v>108</v>
      </c>
      <c r="K328" s="323">
        <f ca="1">IF(I328&gt;0,J328*100/I328,0)</f>
        <v>135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1024850</v>
      </c>
      <c r="M329" s="156">
        <f t="shared" ca="1" si="98"/>
        <v>1063850</v>
      </c>
      <c r="N329" s="156">
        <f t="shared" ca="1" si="98"/>
        <v>877017.59999999998</v>
      </c>
      <c r="O329" s="155">
        <f t="shared" ref="O329:O331" ca="1" si="99">IF(L329&gt;0,N329*100/L329,0)</f>
        <v>85.575215885251495</v>
      </c>
      <c r="P329" s="155">
        <f t="shared" ref="P329:P331" ca="1" si="100">IF(M329&gt;0,N329*100/M329,0)</f>
        <v>82.438088076326551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1024850</v>
      </c>
      <c r="M331" s="161">
        <f t="shared" ca="1" si="102"/>
        <v>1063850</v>
      </c>
      <c r="N331" s="161">
        <f t="shared" ca="1" si="102"/>
        <v>877017.59999999998</v>
      </c>
      <c r="O331" s="160">
        <f t="shared" ca="1" si="99"/>
        <v>85.575215885251495</v>
      </c>
      <c r="P331" s="160">
        <f t="shared" ca="1" si="100"/>
        <v>82.438088076326551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877850</v>
      </c>
      <c r="M333" s="173">
        <f ca="1">IFERROR(__xludf.DUMMYFUNCTION("IMPORTRANGE(""https://docs.google.com/spreadsheets/d/1Yj_ptqi66GCucihVvJfMjLAmec39IyEx_6qawtMGysU/edit?usp=sharing"",""สบก!DL90"")"),916850)</f>
        <v>916850</v>
      </c>
      <c r="N333" s="174">
        <f ca="1">IFERROR(__xludf.DUMMYFUNCTION("IMPORTRANGE(""https://docs.google.com/spreadsheets/d/1Yj_ptqi66GCucihVvJfMjLAmec39IyEx_6qawtMGysU/edit?usp=sharing"",""สบก!DM90"")"),730017.6)</f>
        <v>730017.6</v>
      </c>
      <c r="O333" s="175">
        <f ca="1">IF(L333&gt;0,N333*100/L333,0)</f>
        <v>83.159719769892348</v>
      </c>
      <c r="P333" s="175">
        <f ca="1">IF(M333&gt;0,N333*100/M333,0)</f>
        <v>79.622359164530735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IFERROR(__xludf.DUMMYFUNCTION("IMPORTRANGE(""https://docs.google.com/spreadsheets/d/1Yj_ptqi66GCucihVvJfMjLAmec39IyEx_6qawtMGysU/edit?usp=sharing"",""สบก!DH90"")"),624000)</f>
        <v>624000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IFERROR(__xludf.DUMMYFUNCTION("IMPORTRANGE(""https://docs.google.com/spreadsheets/d/1Yj_ptqi66GCucihVvJfMjLAmec39IyEx_6qawtMGysU/edit?usp=sharing"",""สบก!DI90"")"),253850)</f>
        <v>253850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IFERROR(__xludf.DUMMYFUNCTION("IMPORTRANGE(""https://docs.google.com/spreadsheets/d/1IYY_tgx_IHuhSq3AJ5eI5OnqOPBNLWSHKh2a30DoXe8/edit?usp=sharing"",""ยะลา!I234"")"),0)</f>
        <v>0</v>
      </c>
      <c r="J339" s="194">
        <f ca="1">IFERROR(__xludf.DUMMYFUNCTION("IMPORTRANGE(""https://docs.google.com/spreadsheets/d/1IYY_tgx_IHuhSq3AJ5eI5OnqOPBNLWSHKh2a30DoXe8/edit?usp=sharing"",""ยะลา!J234"")"),158)</f>
        <v>158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IFERROR(__xludf.DUMMYFUNCTION("IMPORTRANGE(""https://docs.google.com/spreadsheets/d/1IYY_tgx_IHuhSq3AJ5eI5OnqOPBNLWSHKh2a30DoXe8/edit?usp=sharing"",""ยะลา!I235"")"),880)</f>
        <v>880</v>
      </c>
      <c r="J340" s="194">
        <f ca="1">IFERROR(__xludf.DUMMYFUNCTION("IMPORTRANGE(""https://docs.google.com/spreadsheets/d/1IYY_tgx_IHuhSq3AJ5eI5OnqOPBNLWSHKh2a30DoXe8/edit?usp=sharing"",""ยะลา!J235"")"),957.76)</f>
        <v>957.76</v>
      </c>
      <c r="K340" s="348">
        <f t="shared" ca="1" si="103"/>
        <v>108.83636363636364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IFERROR(__xludf.DUMMYFUNCTION("IMPORTRANGE(""https://docs.google.com/spreadsheets/d/1IYY_tgx_IHuhSq3AJ5eI5OnqOPBNLWSHKh2a30DoXe8/edit?usp=sharing"",""ยะลา!I236"")"),80)</f>
        <v>80</v>
      </c>
      <c r="J341" s="194">
        <f ca="1">IFERROR(__xludf.DUMMYFUNCTION("IMPORTRANGE(""https://docs.google.com/spreadsheets/d/1IYY_tgx_IHuhSq3AJ5eI5OnqOPBNLWSHKh2a30DoXe8/edit?usp=sharing"",""ยะลา!J236"")"),181)</f>
        <v>181</v>
      </c>
      <c r="K341" s="348">
        <f t="shared" ca="1" si="103"/>
        <v>226.25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4">
        <f ca="1">IFERROR(__xludf.DUMMYFUNCTION("IMPORTRANGE(""https://docs.google.com/spreadsheets/d/1IYY_tgx_IHuhSq3AJ5eI5OnqOPBNLWSHKh2a30DoXe8/edit?usp=sharing"",""ยะลา!J237"")"),1148.85)</f>
        <v>1148.8499999999999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IFERROR(__xludf.DUMMYFUNCTION("IMPORTRANGE(""https://docs.google.com/spreadsheets/d/1IYY_tgx_IHuhSq3AJ5eI5OnqOPBNLWSHKh2a30DoXe8/edit?usp=sharing"",""ยะลา!I238"")"),80)</f>
        <v>80</v>
      </c>
      <c r="J343" s="194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4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IFERROR(__xludf.DUMMYFUNCTION("IMPORTRANGE(""https://docs.google.com/spreadsheets/d/1IYY_tgx_IHuhSq3AJ5eI5OnqOPBNLWSHKh2a30DoXe8/edit?usp=sharing"",""ยะลา!I240"")"),80)</f>
        <v>80</v>
      </c>
      <c r="J345" s="194">
        <f ca="1">IFERROR(__xludf.DUMMYFUNCTION("IMPORTRANGE(""https://docs.google.com/spreadsheets/d/1IYY_tgx_IHuhSq3AJ5eI5OnqOPBNLWSHKh2a30DoXe8/edit?usp=sharing"",""ยะลา!J240"")"),108)</f>
        <v>108</v>
      </c>
      <c r="K345" s="348">
        <f t="shared" ca="1" si="103"/>
        <v>135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4">
        <f ca="1">IFERROR(__xludf.DUMMYFUNCTION("IMPORTRANGE(""https://docs.google.com/spreadsheets/d/1IYY_tgx_IHuhSq3AJ5eI5OnqOPBNLWSHKh2a30DoXe8/edit?usp=sharing"",""ยะลา!J241"")"),745.47)</f>
        <v>745.47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IFERROR(__xludf.DUMMYFUNCTION("IMPORTRANGE(""https://docs.google.com/spreadsheets/d/1IYY_tgx_IHuhSq3AJ5eI5OnqOPBNLWSHKh2a30DoXe8/edit?usp=sharing"",""ยะลา!L242"")"),610667)</f>
        <v>610667</v>
      </c>
      <c r="M347" s="364"/>
      <c r="N347" s="364">
        <f ca="1">IFERROR(__xludf.DUMMYFUNCTION("IMPORTRANGE(""https://docs.google.com/spreadsheets/d/1IYY_tgx_IHuhSq3AJ5eI5OnqOPBNLWSHKh2a30DoXe8/edit?usp=sharing"",""ยะลา!M242"")"),521867.95)</f>
        <v>521867.95</v>
      </c>
      <c r="O347" s="364">
        <f ca="1">+IF(L347&gt;0,N347*100/L347,0)</f>
        <v>85.458678788930797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IFERROR(__xludf.DUMMYFUNCTION("IMPORTRANGE(""https://docs.google.com/spreadsheets/d/1IYY_tgx_IHuhSq3AJ5eI5OnqOPBNLWSHKh2a30DoXe8/edit?usp=sharing"",""ยะลา!L246"")"),0)</f>
        <v>0</v>
      </c>
      <c r="M351" s="168"/>
      <c r="N351" s="168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8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IFERROR(__xludf.DUMMYFUNCTION("IMPORTRANGE(""https://docs.google.com/spreadsheets/d/1IYY_tgx_IHuhSq3AJ5eI5OnqOPBNLWSHKh2a30DoXe8/edit?usp=sharing"",""ยะลา!L248"")"),0)</f>
        <v>0</v>
      </c>
      <c r="M353" s="175"/>
      <c r="N353" s="175">
        <f ca="1">IFERROR(__xludf.DUMMYFUNCTION("IMPORTRANGE(""https://docs.google.com/spreadsheets/d/1IYY_tgx_IHuhSq3AJ5eI5OnqOPBNLWSHKh2a30DoXe8/edit?usp=sharing"",""ยะลา!M248"")"),0)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IFERROR(__xludf.DUMMYFUNCTION("IMPORTRANGE(""https://docs.google.com/spreadsheets/d/1IYY_tgx_IHuhSq3AJ5eI5OnqOPBNLWSHKh2a30DoXe8/edit?usp=sharing"",""ยะลา!L249"")"),0)</f>
        <v>0</v>
      </c>
      <c r="M354" s="175"/>
      <c r="N354" s="172">
        <f ca="1">IFERROR(__xludf.DUMMYFUNCTION("IMPORTRANGE(""https://docs.google.com/spreadsheets/d/1IYY_tgx_IHuhSq3AJ5eI5OnqOPBNLWSHKh2a30DoXe8/edit?usp=sharing"",""ยะลา!M249"")"),0)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IFERROR(__xludf.DUMMYFUNCTION("IMPORTRANGE(""https://docs.google.com/spreadsheets/d/1IYY_tgx_IHuhSq3AJ5eI5OnqOPBNLWSHKh2a30DoXe8/edit?usp=sharing"",""ยะลา!J255"")"),0)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IFERROR(__xludf.DUMMYFUNCTION("IMPORTRANGE(""https://docs.google.com/spreadsheets/d/1IYY_tgx_IHuhSq3AJ5eI5OnqOPBNLWSHKh2a30DoXe8/edit?usp=sharing"",""ยะลา!J256"")"),0)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IFERROR(__xludf.DUMMYFUNCTION("IMPORTRANGE(""https://docs.google.com/spreadsheets/d/1IYY_tgx_IHuhSq3AJ5eI5OnqOPBNLWSHKh2a30DoXe8/edit?usp=sharing"",""ยะลา!J257"")"),0)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IFERROR(__xludf.DUMMYFUNCTION("IMPORTRANGE(""https://docs.google.com/spreadsheets/d/1IYY_tgx_IHuhSq3AJ5eI5OnqOPBNLWSHKh2a30DoXe8/edit?usp=sharing"",""ยะลา!J258"")"),0)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IFERROR(__xludf.DUMMYFUNCTION("IMPORTRANGE(""https://docs.google.com/spreadsheets/d/1IYY_tgx_IHuhSq3AJ5eI5OnqOPBNLWSHKh2a30DoXe8/edit?usp=sharing"",""ยะลา!J166"")"),0)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IFERROR(__xludf.DUMMYFUNCTION("IMPORTRANGE(""https://docs.google.com/spreadsheets/d/1IYY_tgx_IHuhSq3AJ5eI5OnqOPBNLWSHKh2a30DoXe8/edit?usp=sharing"",""ยะลา!J166"")"),0)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IFERROR(__xludf.DUMMYFUNCTION("IMPORTRANGE(""https://docs.google.com/spreadsheets/d/1IYY_tgx_IHuhSq3AJ5eI5OnqOPBNLWSHKh2a30DoXe8/edit?usp=sharing"",""ยะลา!J166"")"),0)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IFERROR(__xludf.DUMMYFUNCTION("IMPORTRANGE(""https://docs.google.com/spreadsheets/d/1IYY_tgx_IHuhSq3AJ5eI5OnqOPBNLWSHKh2a30DoXe8/edit?usp=sharing"",""ยะลา!J166"")"),0)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IFERROR(__xludf.DUMMYFUNCTION("IMPORTRANGE(""https://docs.google.com/spreadsheets/d/1IYY_tgx_IHuhSq3AJ5eI5OnqOPBNLWSHKh2a30DoXe8/edit?usp=sharing"",""ยะลา!I263"")"),0)</f>
        <v>0</v>
      </c>
      <c r="J368" s="194">
        <f ca="1">IFERROR(__xludf.DUMMYFUNCTION("IMPORTRANGE(""https://docs.google.com/spreadsheets/d/1IYY_tgx_IHuhSq3AJ5eI5OnqOPBNLWSHKh2a30DoXe8/edit?usp=sharing"",""ยะลา!J263"")"),0)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IFERROR(__xludf.DUMMYFUNCTION("IMPORTRANGE(""https://docs.google.com/spreadsheets/d/1IYY_tgx_IHuhSq3AJ5eI5OnqOPBNLWSHKh2a30DoXe8/edit?usp=sharing"",""ยะลา!I164"")"),0)</f>
        <v>0</v>
      </c>
      <c r="J369" s="210">
        <f ca="1">IFERROR(__xludf.DUMMYFUNCTION("IMPORTRANGE(""https://docs.google.com/spreadsheets/d/1IYY_tgx_IHuhSq3AJ5eI5OnqOPBNLWSHKh2a30DoXe8/edit?usp=sharing"",""ยะลา!J164"")"),0)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IFERROR(__xludf.DUMMYFUNCTION("IMPORTRANGE(""https://docs.google.com/spreadsheets/d/1IYY_tgx_IHuhSq3AJ5eI5OnqOPBNLWSHKh2a30DoXe8/edit?usp=sharing"",""ยะลา!I265"")"),0)</f>
        <v>0</v>
      </c>
      <c r="J370" s="210">
        <f ca="1">IFERROR(__xludf.DUMMYFUNCTION("IMPORTRANGE(""https://docs.google.com/spreadsheets/d/1IYY_tgx_IHuhSq3AJ5eI5OnqOPBNLWSHKh2a30DoXe8/edit?usp=sharing"",""ยะลา!J265"")"),0)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IFERROR(__xludf.DUMMYFUNCTION("IMPORTRANGE(""https://docs.google.com/spreadsheets/d/1IYY_tgx_IHuhSq3AJ5eI5OnqOPBNLWSHKh2a30DoXe8/edit?usp=sharing"",""ยะลา!I164"")"),0)</f>
        <v>0</v>
      </c>
      <c r="J371" s="195">
        <f ca="1">IFERROR(__xludf.DUMMYFUNCTION("IMPORTRANGE(""https://docs.google.com/spreadsheets/d/1IYY_tgx_IHuhSq3AJ5eI5OnqOPBNLWSHKh2a30DoXe8/edit?usp=sharing"",""ยะลา!J164"")"),0)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IFERROR(__xludf.DUMMYFUNCTION("IMPORTRANGE(""https://docs.google.com/spreadsheets/d/1IYY_tgx_IHuhSq3AJ5eI5OnqOPBNLWSHKh2a30DoXe8/edit?usp=sharing"",""ยะลา!I267"")"),0)</f>
        <v>0</v>
      </c>
      <c r="J372" s="195">
        <f ca="1">IFERROR(__xludf.DUMMYFUNCTION("IMPORTRANGE(""https://docs.google.com/spreadsheets/d/1IYY_tgx_IHuhSq3AJ5eI5OnqOPBNLWSHKh2a30DoXe8/edit?usp=sharing"",""ยะลา!J267"")"),0)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IFERROR(__xludf.DUMMYFUNCTION("IMPORTRANGE(""https://docs.google.com/spreadsheets/d/1IYY_tgx_IHuhSq3AJ5eI5OnqOPBNLWSHKh2a30DoXe8/edit?usp=sharing"",""ยะลา!I164"")"),0)</f>
        <v>0</v>
      </c>
      <c r="J373" s="210">
        <f ca="1">IFERROR(__xludf.DUMMYFUNCTION("IMPORTRANGE(""https://docs.google.com/spreadsheets/d/1IYY_tgx_IHuhSq3AJ5eI5OnqOPBNLWSHKh2a30DoXe8/edit?usp=sharing"",""ยะลา!J164"")"),0)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IFERROR(__xludf.DUMMYFUNCTION("IMPORTRANGE(""https://docs.google.com/spreadsheets/d/1IYY_tgx_IHuhSq3AJ5eI5OnqOPBNLWSHKh2a30DoXe8/edit?usp=sharing"",""ยะลา!I164"")"),0)</f>
        <v>0</v>
      </c>
      <c r="J374" s="194">
        <f ca="1">IFERROR(__xludf.DUMMYFUNCTION("IMPORTRANGE(""https://docs.google.com/spreadsheets/d/1IYY_tgx_IHuhSq3AJ5eI5OnqOPBNLWSHKh2a30DoXe8/edit?usp=sharing"",""ยะลา!J164"")"),0)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IFERROR(__xludf.DUMMYFUNCTION("IMPORTRANGE(""https://docs.google.com/spreadsheets/d/1IYY_tgx_IHuhSq3AJ5eI5OnqOPBNLWSHKh2a30DoXe8/edit?usp=sharing"",""ยะลา!I270"")"),0)</f>
        <v>0</v>
      </c>
      <c r="J375" s="194">
        <f ca="1">IFERROR(__xludf.DUMMYFUNCTION("IMPORTRANGE(""https://docs.google.com/spreadsheets/d/1IYY_tgx_IHuhSq3AJ5eI5OnqOPBNLWSHKh2a30DoXe8/edit?usp=sharing"",""ยะลา!J270"")"),0)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IFERROR(__xludf.DUMMYFUNCTION("IMPORTRANGE(""https://docs.google.com/spreadsheets/d/1IYY_tgx_IHuhSq3AJ5eI5OnqOPBNLWSHKh2a30DoXe8/edit?usp=sharing"",""ยะลา!I271"")"),0)</f>
        <v>0</v>
      </c>
      <c r="J376" s="195">
        <f ca="1">IFERROR(__xludf.DUMMYFUNCTION("IMPORTRANGE(""https://docs.google.com/spreadsheets/d/1IYY_tgx_IHuhSq3AJ5eI5OnqOPBNLWSHKh2a30DoXe8/edit?usp=sharing"",""ยะลา!J271"")"),0)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IFERROR(__xludf.DUMMYFUNCTION("IMPORTRANGE(""https://docs.google.com/spreadsheets/d/1IYY_tgx_IHuhSq3AJ5eI5OnqOPBNLWSHKh2a30DoXe8/edit?usp=sharing"",""ยะลา!I272"")"),0)</f>
        <v>0</v>
      </c>
      <c r="J377" s="210">
        <f ca="1">IFERROR(__xludf.DUMMYFUNCTION("IMPORTRANGE(""https://docs.google.com/spreadsheets/d/1IYY_tgx_IHuhSq3AJ5eI5OnqOPBNLWSHKh2a30DoXe8/edit?usp=sharing"",""ยะลา!J272"")"),0)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IFERROR(__xludf.DUMMYFUNCTION("IMPORTRANGE(""https://docs.google.com/spreadsheets/d/1IYY_tgx_IHuhSq3AJ5eI5OnqOPBNLWSHKh2a30DoXe8/edit?usp=sharing"",""ยะลา!J273"")"),0)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IFERROR(__xludf.DUMMYFUNCTION("IMPORTRANGE(""https://docs.google.com/spreadsheets/d/1IYY_tgx_IHuhSq3AJ5eI5OnqOPBNLWSHKh2a30DoXe8/edit?usp=sharing"",""ยะลา!J274"")"),0)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IFERROR(__xludf.DUMMYFUNCTION("IMPORTRANGE(""https://docs.google.com/spreadsheets/d/1IYY_tgx_IHuhSq3AJ5eI5OnqOPBNLWSHKh2a30DoXe8/edit?usp=sharing"",""ยะลา!M275"")"),167610)</f>
        <v>167610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IFERROR(__xludf.DUMMYFUNCTION("IMPORTRANGE(""https://docs.google.com/spreadsheets/d/1IYY_tgx_IHuhSq3AJ5eI5OnqOPBNLWSHKh2a30DoXe8/edit?usp=sharing"",""ยะลา!L277"")"),0)</f>
        <v>0</v>
      </c>
      <c r="M382" s="168"/>
      <c r="N382" s="168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IFERROR(__xludf.DUMMYFUNCTION("IMPORTRANGE(""https://docs.google.com/spreadsheets/d/1IYY_tgx_IHuhSq3AJ5eI5OnqOPBNLWSHKh2a30DoXe8/edit?usp=sharing"",""ยะลา!M278"")"),167610)</f>
        <v>167610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IFERROR(__xludf.DUMMYFUNCTION("IMPORTRANGE(""https://docs.google.com/spreadsheets/d/1IYY_tgx_IHuhSq3AJ5eI5OnqOPBNLWSHKh2a30DoXe8/edit?usp=sharing"",""ยะลา!L279"")"),0)</f>
        <v>0</v>
      </c>
      <c r="M384" s="175"/>
      <c r="N384" s="175">
        <f ca="1">IFERROR(__xludf.DUMMYFUNCTION("IMPORTRANGE(""https://docs.google.com/spreadsheets/d/1IYY_tgx_IHuhSq3AJ5eI5OnqOPBNLWSHKh2a30DoXe8/edit?usp=sharing"",""ยะลา!M279"")"),0)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IFERROR(__xludf.DUMMYFUNCTION("IMPORTRANGE(""https://docs.google.com/spreadsheets/d/1IYY_tgx_IHuhSq3AJ5eI5OnqOPBNLWSHKh2a30DoXe8/edit?usp=sharing"",""ยะลา!L280"")"),167610)</f>
        <v>167610</v>
      </c>
      <c r="M385" s="175"/>
      <c r="N385" s="172">
        <f ca="1">IFERROR(__xludf.DUMMYFUNCTION("IMPORTRANGE(""https://docs.google.com/spreadsheets/d/1IYY_tgx_IHuhSq3AJ5eI5OnqOPBNLWSHKh2a30DoXe8/edit?usp=sharing"",""ยะลา!M280"")"),167610)</f>
        <v>167610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IFERROR(__xludf.DUMMYFUNCTION("IMPORTRANGE(""https://docs.google.com/spreadsheets/d/1IYY_tgx_IHuhSq3AJ5eI5OnqOPBNLWSHKh2a30DoXe8/edit?usp=sharing"",""ยะลา!M281"")"),45080)</f>
        <v>45080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IFERROR(__xludf.DUMMYFUNCTION("IMPORTRANGE(""https://docs.google.com/spreadsheets/d/1IYY_tgx_IHuhSq3AJ5eI5OnqOPBNLWSHKh2a30DoXe8/edit?usp=sharing"",""ยะลา!M282"")"),88600)</f>
        <v>88600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IFERROR(__xludf.DUMMYFUNCTION("IMPORTRANGE(""https://docs.google.com/spreadsheets/d/1IYY_tgx_IHuhSq3AJ5eI5OnqOPBNLWSHKh2a30DoXe8/edit?usp=sharing"",""ยะลา!M284"")"),33930)</f>
        <v>33930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IFERROR(__xludf.DUMMYFUNCTION("IMPORTRANGE(""https://docs.google.com/spreadsheets/d/1IYY_tgx_IHuhSq3AJ5eI5OnqOPBNLWSHKh2a30DoXe8/edit?usp=sharing"",""ยะลา!J286"")"),0)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IFERROR(__xludf.DUMMYFUNCTION("IMPORTRANGE(""https://docs.google.com/spreadsheets/d/1IYY_tgx_IHuhSq3AJ5eI5OnqOPBNLWSHKh2a30DoXe8/edit?usp=sharing"",""ยะลา!J287"")"),1)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IFERROR(__xludf.DUMMYFUNCTION("IMPORTRANGE(""https://docs.google.com/spreadsheets/d/1IYY_tgx_IHuhSq3AJ5eI5OnqOPBNLWSHKh2a30DoXe8/edit?usp=sharing"",""ยะลา!J288"")"),1)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IFERROR(__xludf.DUMMYFUNCTION("IMPORTRANGE(""https://docs.google.com/spreadsheets/d/1IYY_tgx_IHuhSq3AJ5eI5OnqOPBNLWSHKh2a30DoXe8/edit?usp=sharing"",""ยะลา!J289"")"),1)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IFERROR(__xludf.DUMMYFUNCTION("IMPORTRANGE(""https://docs.google.com/spreadsheets/d/1IYY_tgx_IHuhSq3AJ5eI5OnqOPBNLWSHKh2a30DoXe8/edit?usp=sharing"",""ยะลา!I291"")"),15)</f>
        <v>15</v>
      </c>
      <c r="J396" s="204">
        <f ca="1">IFERROR(__xludf.DUMMYFUNCTION("IMPORTRANGE(""https://docs.google.com/spreadsheets/d/1IYY_tgx_IHuhSq3AJ5eI5OnqOPBNLWSHKh2a30DoXe8/edit?usp=sharing"",""ยะลา!J291"")"),15)</f>
        <v>15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IFERROR(__xludf.DUMMYFUNCTION("IMPORTRANGE(""https://docs.google.com/spreadsheets/d/1IYY_tgx_IHuhSq3AJ5eI5OnqOPBNLWSHKh2a30DoXe8/edit?usp=sharing"",""ยะลา!I292"")"),150)</f>
        <v>150</v>
      </c>
      <c r="J397" s="204">
        <f ca="1">IFERROR(__xludf.DUMMYFUNCTION("IMPORTRANGE(""https://docs.google.com/spreadsheets/d/1IYY_tgx_IHuhSq3AJ5eI5OnqOPBNLWSHKh2a30DoXe8/edit?usp=sharing"",""ยะลา!J292"")"),150)</f>
        <v>150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IFERROR(__xludf.DUMMYFUNCTION("IMPORTRANGE(""https://docs.google.com/spreadsheets/d/1IYY_tgx_IHuhSq3AJ5eI5OnqOPBNLWSHKh2a30DoXe8/edit?usp=sharing"",""ยะลา!I293"")"),15)</f>
        <v>15</v>
      </c>
      <c r="J398" s="204">
        <f ca="1">IFERROR(__xludf.DUMMYFUNCTION("IMPORTRANGE(""https://docs.google.com/spreadsheets/d/1IYY_tgx_IHuhSq3AJ5eI5OnqOPBNLWSHKh2a30DoXe8/edit?usp=sharing"",""ยะลา!J293"")"),15)</f>
        <v>15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IFERROR(__xludf.DUMMYFUNCTION("IMPORTRANGE(""https://docs.google.com/spreadsheets/d/1IYY_tgx_IHuhSq3AJ5eI5OnqOPBNLWSHKh2a30DoXe8/edit?usp=sharing"",""ยะลา!J294"")"),0)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IFERROR(__xludf.DUMMYFUNCTION("IMPORTRANGE(""https://docs.google.com/spreadsheets/d/1IYY_tgx_IHuhSq3AJ5eI5OnqOPBNLWSHKh2a30DoXe8/edit?usp=sharing"",""ยะลา!J295"")"),0)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IFERROR(__xludf.DUMMYFUNCTION("IMPORTRANGE(""https://docs.google.com/spreadsheets/d/1IYY_tgx_IHuhSq3AJ5eI5OnqOPBNLWSHKh2a30DoXe8/edit?usp=sharing"",""ยะลา!M296"")"),121930)</f>
        <v>121930</v>
      </c>
      <c r="O401" s="379">
        <f ca="1">+IF(L401&gt;0,N401*100/L401,0)</f>
        <v>92.574595702680128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IFERROR(__xludf.DUMMYFUNCTION("IMPORTRANGE(""https://docs.google.com/spreadsheets/d/1IYY_tgx_IHuhSq3AJ5eI5OnqOPBNLWSHKh2a30DoXe8/edit?usp=sharing"",""ยะลา!L298"")"),0)</f>
        <v>0</v>
      </c>
      <c r="M403" s="168"/>
      <c r="N403" s="175">
        <f ca="1">IFERROR(__xludf.DUMMYFUNCTION("IMPORTRANGE(""https://docs.google.com/spreadsheets/d/1IYY_tgx_IHuhSq3AJ5eI5OnqOPBNLWSHKh2a30DoXe8/edit?usp=sharing"",""ยะลา!M298"")"),0)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IFERROR(__xludf.DUMMYFUNCTION("IMPORTRANGE(""https://docs.google.com/spreadsheets/d/1IYY_tgx_IHuhSq3AJ5eI5OnqOPBNLWSHKh2a30DoXe8/edit?usp=sharing"",""ยะลา!M299"")"),121930)</f>
        <v>121930</v>
      </c>
      <c r="O404" s="175">
        <f t="shared" ca="1" si="112"/>
        <v>92.574595702680128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IFERROR(__xludf.DUMMYFUNCTION("IMPORTRANGE(""https://docs.google.com/spreadsheets/d/1IYY_tgx_IHuhSq3AJ5eI5OnqOPBNLWSHKh2a30DoXe8/edit?usp=sharing"",""ยะลา!L300"")"),0)</f>
        <v>0</v>
      </c>
      <c r="M405" s="175"/>
      <c r="N405" s="175">
        <f ca="1">IFERROR(__xludf.DUMMYFUNCTION("IMPORTRANGE(""https://docs.google.com/spreadsheets/d/1IYY_tgx_IHuhSq3AJ5eI5OnqOPBNLWSHKh2a30DoXe8/edit?usp=sharing"",""ยะลา!M300"")"),0)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IFERROR(__xludf.DUMMYFUNCTION("IMPORTRANGE(""https://docs.google.com/spreadsheets/d/1IYY_tgx_IHuhSq3AJ5eI5OnqOPBNLWSHKh2a30DoXe8/edit?usp=sharing"",""ยะลา!L301"")"),131710)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IFERROR(__xludf.DUMMYFUNCTION("IMPORTRANGE(""https://docs.google.com/spreadsheets/d/1IYY_tgx_IHuhSq3AJ5eI5OnqOPBNLWSHKh2a30DoXe8/edit?usp=sharing"",""ยะลา!M301"")"),121930)</f>
        <v>121930</v>
      </c>
      <c r="O406" s="175">
        <f t="shared" ca="1" si="112"/>
        <v>92.574595702680128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IFERROR(__xludf.DUMMYFUNCTION("IMPORTRANGE(""https://docs.google.com/spreadsheets/d/1IYY_tgx_IHuhSq3AJ5eI5OnqOPBNLWSHKh2a30DoXe8/edit?usp=sharing"",""ยะลา!M302"")"),78850)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IFERROR(__xludf.DUMMYFUNCTION("IMPORTRANGE(""https://docs.google.com/spreadsheets/d/1IYY_tgx_IHuhSq3AJ5eI5OnqOPBNLWSHKh2a30DoXe8/edit?usp=sharing"",""ยะลา!M303"")"),25500)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IFERROR(__xludf.DUMMYFUNCTION("IMPORTRANGE(""https://docs.google.com/spreadsheets/d/1IYY_tgx_IHuhSq3AJ5eI5OnqOPBNLWSHKh2a30DoXe8/edit?usp=sharing"",""ยะลา!M305"")"),17580)</f>
        <v>17580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IFERROR(__xludf.DUMMYFUNCTION("IMPORTRANGE(""https://docs.google.com/spreadsheets/d/1IYY_tgx_IHuhSq3AJ5eI5OnqOPBNLWSHKh2a30DoXe8/edit?usp=sharing"",""ยะลา!J307"")"),0)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IFERROR(__xludf.DUMMYFUNCTION("IMPORTRANGE(""https://docs.google.com/spreadsheets/d/1IYY_tgx_IHuhSq3AJ5eI5OnqOPBNLWSHKh2a30DoXe8/edit?usp=sharing"",""ยะลา!J308"")"),1)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IFERROR(__xludf.DUMMYFUNCTION("IMPORTRANGE(""https://docs.google.com/spreadsheets/d/1IYY_tgx_IHuhSq3AJ5eI5OnqOPBNLWSHKh2a30DoXe8/edit?usp=sharing"",""ยะลา!J309"")"),1)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IFERROR(__xludf.DUMMYFUNCTION("IMPORTRANGE(""https://docs.google.com/spreadsheets/d/1IYY_tgx_IHuhSq3AJ5eI5OnqOPBNLWSHKh2a30DoXe8/edit?usp=sharing"",""ยะลา!J310"")"),1)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IFERROR(__xludf.DUMMYFUNCTION("IMPORTRANGE(""https://docs.google.com/spreadsheets/d/1IYY_tgx_IHuhSq3AJ5eI5OnqOPBNLWSHKh2a30DoXe8/edit?usp=sharing"",""ยะลา!I311"")"),35)</f>
        <v>35</v>
      </c>
      <c r="J416" s="207">
        <f ca="1">IFERROR(__xludf.DUMMYFUNCTION("IMPORTRANGE(""https://docs.google.com/spreadsheets/d/1IYY_tgx_IHuhSq3AJ5eI5OnqOPBNLWSHKh2a30DoXe8/edit?usp=sharing"",""ยะลา!J311"")"),35)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IFERROR(__xludf.DUMMYFUNCTION("IMPORTRANGE(""https://docs.google.com/spreadsheets/d/1IYY_tgx_IHuhSq3AJ5eI5OnqOPBNLWSHKh2a30DoXe8/edit?usp=sharing"",""ยะลา!J328"")"),0)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IFERROR(__xludf.DUMMYFUNCTION("IMPORTRANGE(""https://docs.google.com/spreadsheets/d/1IYY_tgx_IHuhSq3AJ5eI5OnqOPBNLWSHKh2a30DoXe8/edit?usp=sharing"",""ยะลา!J329"")"),0)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IFERROR(__xludf.DUMMYFUNCTION("IMPORTRANGE(""https://docs.google.com/spreadsheets/d/1IYY_tgx_IHuhSq3AJ5eI5OnqOPBNLWSHKh2a30DoXe8/edit?usp=sharing"",""ยะลา!L331"")"),0)</f>
        <v>0</v>
      </c>
      <c r="M436" s="168"/>
      <c r="N436" s="175">
        <f ca="1">IFERROR(__xludf.DUMMYFUNCTION("IMPORTRANGE(""https://docs.google.com/spreadsheets/d/1IYY_tgx_IHuhSq3AJ5eI5OnqOPBNLWSHKh2a30DoXe8/edit?usp=sharing"",""ยะลา!M331"")"),0)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IFERROR(__xludf.DUMMYFUNCTION("IMPORTRANGE(""https://docs.google.com/spreadsheets/d/1IYY_tgx_IHuhSq3AJ5eI5OnqOPBNLWSHKh2a30DoXe8/edit?usp=sharing"",""ยะลา!L332"")"),76000)</f>
        <v>76000</v>
      </c>
      <c r="M437" s="169"/>
      <c r="N437" s="175">
        <f ca="1">IFERROR(__xludf.DUMMYFUNCTION("IMPORTRANGE(""https://docs.google.com/spreadsheets/d/1IYY_tgx_IHuhSq3AJ5eI5OnqOPBNLWSHKh2a30DoXe8/edit?usp=sharing"",""ยะลา!M332"")"),76000)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IFERROR(__xludf.DUMMYFUNCTION("IMPORTRANGE(""https://docs.google.com/spreadsheets/d/1IYY_tgx_IHuhSq3AJ5eI5OnqOPBNLWSHKh2a30DoXe8/edit?usp=sharing"",""ยะลา!L333"")"),0)</f>
        <v>0</v>
      </c>
      <c r="M438" s="175"/>
      <c r="N438" s="175">
        <f ca="1">IFERROR(__xludf.DUMMYFUNCTION("IMPORTRANGE(""https://docs.google.com/spreadsheets/d/1IYY_tgx_IHuhSq3AJ5eI5OnqOPBNLWSHKh2a30DoXe8/edit?usp=sharing"",""ยะลา!M333"")"),0)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IFERROR(__xludf.DUMMYFUNCTION("IMPORTRANGE(""https://docs.google.com/spreadsheets/d/1IYY_tgx_IHuhSq3AJ5eI5OnqOPBNLWSHKh2a30DoXe8/edit?usp=sharing"",""ยะลา!L334"")"),76000)</f>
        <v>76000</v>
      </c>
      <c r="M439" s="175"/>
      <c r="N439" s="175">
        <f ca="1">IFERROR(__xludf.DUMMYFUNCTION("IMPORTRANGE(""https://docs.google.com/spreadsheets/d/1IYY_tgx_IHuhSq3AJ5eI5OnqOPBNLWSHKh2a30DoXe8/edit?usp=sharing"",""ยะลา!M334"")"),76000)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IFERROR(__xludf.DUMMYFUNCTION("IMPORTRANGE(""https://docs.google.com/spreadsheets/d/1IYY_tgx_IHuhSq3AJ5eI5OnqOPBNLWSHKh2a30DoXe8/edit?usp=sharing"",""ยะลา!M335"")"),27545)</f>
        <v>27545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IFERROR(__xludf.DUMMYFUNCTION("IMPORTRANGE(""https://docs.google.com/spreadsheets/d/1IYY_tgx_IHuhSq3AJ5eI5OnqOPBNLWSHKh2a30DoXe8/edit?usp=sharing"",""ยะลา!M338"")"),48455)</f>
        <v>48455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IFERROR(__xludf.DUMMYFUNCTION("IMPORTRANGE(""https://docs.google.com/spreadsheets/d/1IYY_tgx_IHuhSq3AJ5eI5OnqOPBNLWSHKh2a30DoXe8/edit?usp=sharing"",""ยะลา!J340"")"),0)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IFERROR(__xludf.DUMMYFUNCTION("IMPORTRANGE(""https://docs.google.com/spreadsheets/d/1IYY_tgx_IHuhSq3AJ5eI5OnqOPBNLWSHKh2a30DoXe8/edit?usp=sharing"",""ยะลา!J341"")"),1)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IFERROR(__xludf.DUMMYFUNCTION("IMPORTRANGE(""https://docs.google.com/spreadsheets/d/1IYY_tgx_IHuhSq3AJ5eI5OnqOPBNLWSHKh2a30DoXe8/edit?usp=sharing"",""ยะลา!J342"")"),1)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IFERROR(__xludf.DUMMYFUNCTION("IMPORTRANGE(""https://docs.google.com/spreadsheets/d/1IYY_tgx_IHuhSq3AJ5eI5OnqOPBNLWSHKh2a30DoXe8/edit?usp=sharing"",""ยะลา!J343"")"),1)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7">
        <f ca="1">IFERROR(__xludf.DUMMYFUNCTION("IMPORTRANGE(""https://docs.google.com/spreadsheets/d/1IYY_tgx_IHuhSq3AJ5eI5OnqOPBNLWSHKh2a30DoXe8/edit?usp=sharing"",""ยะลา!J344"")"),10)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5">
        <f ca="1">IFERROR(__xludf.DUMMYFUNCTION("IMPORTRANGE(""https://docs.google.com/spreadsheets/d/1IYY_tgx_IHuhSq3AJ5eI5OnqOPBNLWSHKh2a30DoXe8/edit?usp=sharing"",""ยะลา!J345"")"),10)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4">
        <f ca="1">IFERROR(__xludf.DUMMYFUNCTION("IMPORTRANGE(""https://docs.google.com/spreadsheets/d/1IYY_tgx_IHuhSq3AJ5eI5OnqOPBNLWSHKh2a30DoXe8/edit?usp=sharing"",""ยะลา!J346"")"),0)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IFERROR(__xludf.DUMMYFUNCTION("IMPORTRANGE(""https://docs.google.com/spreadsheets/d/1IYY_tgx_IHuhSq3AJ5eI5OnqOPBNLWSHKh2a30DoXe8/edit?usp=sharing"",""ยะลา!I347"")"),0)</f>
        <v>0</v>
      </c>
      <c r="J452" s="194">
        <f ca="1">IFERROR(__xludf.DUMMYFUNCTION("IMPORTRANGE(""https://docs.google.com/spreadsheets/d/1IYY_tgx_IHuhSq3AJ5eI5OnqOPBNLWSHKh2a30DoXe8/edit?usp=sharing"",""ยะลา!J347"")"),0)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IFERROR(__xludf.DUMMYFUNCTION("IMPORTRANGE(""https://docs.google.com/spreadsheets/d/1IYY_tgx_IHuhSq3AJ5eI5OnqOPBNLWSHKh2a30DoXe8/edit?usp=sharing"",""ยะลา!J348"")"),0)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IFERROR(__xludf.DUMMYFUNCTION("IMPORTRANGE(""https://docs.google.com/spreadsheets/d/1IYY_tgx_IHuhSq3AJ5eI5OnqOPBNLWSHKh2a30DoXe8/edit?usp=sharing"",""ยะลา!J349"")"),0)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IFERROR(__xludf.DUMMYFUNCTION("IMPORTRANGE(""https://docs.google.com/spreadsheets/d/1IYY_tgx_IHuhSq3AJ5eI5OnqOPBNLWSHKh2a30DoXe8/edit?usp=sharing"",""ยะลา!J350"")"),5391)</f>
        <v>5391</v>
      </c>
      <c r="K455" s="378">
        <f ca="1">IF(I455&gt;0,J455*100/I455,0)</f>
        <v>100.01855287569573</v>
      </c>
      <c r="L455" s="379">
        <f ca="1">IFERROR(__xludf.DUMMYFUNCTION("IMPORTRANGE(""https://docs.google.com/spreadsheets/d/1IYY_tgx_IHuhSq3AJ5eI5OnqOPBNLWSHKh2a30DoXe8/edit?usp=sharing"",""ยะลา!L350"")"),77877)</f>
        <v>77877</v>
      </c>
      <c r="M455" s="379"/>
      <c r="N455" s="379">
        <f ca="1">IFERROR(__xludf.DUMMYFUNCTION("IMPORTRANGE(""https://docs.google.com/spreadsheets/d/1IYY_tgx_IHuhSq3AJ5eI5OnqOPBNLWSHKh2a30DoXe8/edit?usp=sharing"",""ยะลา!M350"")"),55542)</f>
        <v>55542</v>
      </c>
      <c r="O455" s="379">
        <f t="shared" ref="O455:O459" ca="1" si="116">+IF(L455&gt;0,N455*100/L455,0)</f>
        <v>71.320158711814784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IFERROR(__xludf.DUMMYFUNCTION("IMPORTRANGE(""https://docs.google.com/spreadsheets/d/1IYY_tgx_IHuhSq3AJ5eI5OnqOPBNLWSHKh2a30DoXe8/edit?usp=sharing"",""ยะลา!L351"")"),0)</f>
        <v>0</v>
      </c>
      <c r="M456" s="168"/>
      <c r="N456" s="175">
        <f ca="1">IFERROR(__xludf.DUMMYFUNCTION("IMPORTRANGE(""https://docs.google.com/spreadsheets/d/1IYY_tgx_IHuhSq3AJ5eI5OnqOPBNLWSHKh2a30DoXe8/edit?usp=sharing"",""ยะลา!M351"")"),0)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5">
        <f ca="1">IFERROR(__xludf.DUMMYFUNCTION("IMPORTRANGE(""https://docs.google.com/spreadsheets/d/1IYY_tgx_IHuhSq3AJ5eI5OnqOPBNLWSHKh2a30DoXe8/edit?usp=sharing"",""ยะลา!M352"")"),55542)</f>
        <v>55542</v>
      </c>
      <c r="O457" s="175">
        <f t="shared" ca="1" si="116"/>
        <v>71.320158711814784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IFERROR(__xludf.DUMMYFUNCTION("IMPORTRANGE(""https://docs.google.com/spreadsheets/d/1IYY_tgx_IHuhSq3AJ5eI5OnqOPBNLWSHKh2a30DoXe8/edit?usp=sharing"",""ยะลา!L353"")"),0)</f>
        <v>0</v>
      </c>
      <c r="M458" s="175"/>
      <c r="N458" s="175">
        <f ca="1">IFERROR(__xludf.DUMMYFUNCTION("IMPORTRANGE(""https://docs.google.com/spreadsheets/d/1IYY_tgx_IHuhSq3AJ5eI5OnqOPBNLWSHKh2a30DoXe8/edit?usp=sharing"",""ยะลา!M353"")"),0)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IFERROR(__xludf.DUMMYFUNCTION("IMPORTRANGE(""https://docs.google.com/spreadsheets/d/1IYY_tgx_IHuhSq3AJ5eI5OnqOPBNLWSHKh2a30DoXe8/edit?usp=sharing"",""ยะลา!L354"")"),77877)</f>
        <v>77877</v>
      </c>
      <c r="M459" s="175"/>
      <c r="N459" s="175">
        <f ca="1">IFERROR(__xludf.DUMMYFUNCTION("IMPORTRANGE(""https://docs.google.com/spreadsheets/d/1IYY_tgx_IHuhSq3AJ5eI5OnqOPBNLWSHKh2a30DoXe8/edit?usp=sharing"",""ยะลา!M354"")"),55542)</f>
        <v>55542</v>
      </c>
      <c r="O459" s="175">
        <f t="shared" ca="1" si="116"/>
        <v>71.320158711814784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IFERROR(__xludf.DUMMYFUNCTION("IMPORTRANGE(""https://docs.google.com/spreadsheets/d/1IYY_tgx_IHuhSq3AJ5eI5OnqOPBNLWSHKh2a30DoXe8/edit?usp=sharing"",""ยะลา!M355"")"),0)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IFERROR(__xludf.DUMMYFUNCTION("IMPORTRANGE(""https://docs.google.com/spreadsheets/d/1IYY_tgx_IHuhSq3AJ5eI5OnqOPBNLWSHKh2a30DoXe8/edit?usp=sharing"",""ยะลา!M356"")"),0)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IFERROR(__xludf.DUMMYFUNCTION("IMPORTRANGE(""https://docs.google.com/spreadsheets/d/1IYY_tgx_IHuhSq3AJ5eI5OnqOPBNLWSHKh2a30DoXe8/edit?usp=sharing"",""ยะลา!M358"")"),55542)</f>
        <v>55542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IFERROR(__xludf.DUMMYFUNCTION("IMPORTRANGE(""https://docs.google.com/spreadsheets/d/1IYY_tgx_IHuhSq3AJ5eI5OnqOPBNLWSHKh2a30DoXe8/edit?usp=sharing"",""ยะลา!I359"")"),5390)</f>
        <v>5390</v>
      </c>
      <c r="J464" s="273">
        <f ca="1">IFERROR(__xludf.DUMMYFUNCTION("IMPORTRANGE(""https://docs.google.com/spreadsheets/d/1IYY_tgx_IHuhSq3AJ5eI5OnqOPBNLWSHKh2a30DoXe8/edit?usp=sharing"",""ยะลา!J359"")"),5391)</f>
        <v>5391</v>
      </c>
      <c r="K464" s="274">
        <f t="shared" ref="K464:K515" ca="1" si="117">IF(I464&gt;0,J464*100/I464,0)</f>
        <v>100.01855287569573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8">
        <f t="shared" ca="1" si="117"/>
        <v>100.01855287569573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IFERROR(__xludf.DUMMYFUNCTION("IMPORTRANGE(""https://docs.google.com/spreadsheets/d/1IYY_tgx_IHuhSq3AJ5eI5OnqOPBNLWSHKh2a30DoXe8/edit?usp=sharing"",""ยะลา!I362"")"),0)</f>
        <v>0</v>
      </c>
      <c r="J467" s="195">
        <f ca="1">IFERROR(__xludf.DUMMYFUNCTION("IMPORTRANGE(""https://docs.google.com/spreadsheets/d/1IYY_tgx_IHuhSq3AJ5eI5OnqOPBNLWSHKh2a30DoXe8/edit?usp=sharing"",""ยะลา!J362"")"),4970)</f>
        <v>4970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IFERROR(__xludf.DUMMYFUNCTION("IMPORTRANGE(""https://docs.google.com/spreadsheets/d/1IYY_tgx_IHuhSq3AJ5eI5OnqOPBNLWSHKh2a30DoXe8/edit?usp=sharing"",""ยะลา!I363"")"),0)</f>
        <v>0</v>
      </c>
      <c r="J468" s="195">
        <f ca="1">IFERROR(__xludf.DUMMYFUNCTION("IMPORTRANGE(""https://docs.google.com/spreadsheets/d/1IYY_tgx_IHuhSq3AJ5eI5OnqOPBNLWSHKh2a30DoXe8/edit?usp=sharing"",""ยะลา!J363"")"),1290)</f>
        <v>1290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IFERROR(__xludf.DUMMYFUNCTION("IMPORTRANGE(""https://docs.google.com/spreadsheets/d/1IYY_tgx_IHuhSq3AJ5eI5OnqOPBNLWSHKh2a30DoXe8/edit?usp=sharing"",""ยะลา!I364"")"),0)</f>
        <v>0</v>
      </c>
      <c r="J469" s="195">
        <f ca="1">IFERROR(__xludf.DUMMYFUNCTION("IMPORTRANGE(""https://docs.google.com/spreadsheets/d/1IYY_tgx_IHuhSq3AJ5eI5OnqOPBNLWSHKh2a30DoXe8/edit?usp=sharing"",""ยะลา!J364"")"),237)</f>
        <v>237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IFERROR(__xludf.DUMMYFUNCTION("IMPORTRANGE(""https://docs.google.com/spreadsheets/d/1IYY_tgx_IHuhSq3AJ5eI5OnqOPBNLWSHKh2a30DoXe8/edit?usp=sharing"",""ยะลา!I365"")"),0)</f>
        <v>0</v>
      </c>
      <c r="J470" s="195">
        <f ca="1">IFERROR(__xludf.DUMMYFUNCTION("IMPORTRANGE(""https://docs.google.com/spreadsheets/d/1IYY_tgx_IHuhSq3AJ5eI5OnqOPBNLWSHKh2a30DoXe8/edit?usp=sharing"",""ยะลา!J365"")"),32)</f>
        <v>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IFERROR(__xludf.DUMMYFUNCTION("IMPORTRANGE(""https://docs.google.com/spreadsheets/d/1IYY_tgx_IHuhSq3AJ5eI5OnqOPBNLWSHKh2a30DoXe8/edit?usp=sharing"",""ยะลา!I366"")"),0)</f>
        <v>0</v>
      </c>
      <c r="J471" s="195">
        <f ca="1">IFERROR(__xludf.DUMMYFUNCTION("IMPORTRANGE(""https://docs.google.com/spreadsheets/d/1IYY_tgx_IHuhSq3AJ5eI5OnqOPBNLWSHKh2a30DoXe8/edit?usp=sharing"",""ยะลา!J366"")"),184)</f>
        <v>184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IFERROR(__xludf.DUMMYFUNCTION("IMPORTRANGE(""https://docs.google.com/spreadsheets/d/1IYY_tgx_IHuhSq3AJ5eI5OnqOPBNLWSHKh2a30DoXe8/edit?usp=sharing"",""ยะลา!I367"")"),0)</f>
        <v>0</v>
      </c>
      <c r="J472" s="195">
        <f ca="1">IFERROR(__xludf.DUMMYFUNCTION("IMPORTRANGE(""https://docs.google.com/spreadsheets/d/1IYY_tgx_IHuhSq3AJ5eI5OnqOPBNLWSHKh2a30DoXe8/edit?usp=sharing"",""ยะลา!J367"")"),35)</f>
        <v>35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IFERROR(__xludf.DUMMYFUNCTION("IMPORTRANGE(""https://docs.google.com/spreadsheets/d/1IYY_tgx_IHuhSq3AJ5eI5OnqOPBNLWSHKh2a30DoXe8/edit?usp=sharing"",""ยะลา!J368"")"),5391)</f>
        <v>5391</v>
      </c>
      <c r="K473" s="208">
        <f t="shared" ca="1" si="117"/>
        <v>100.01855287569573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IFERROR(__xludf.DUMMYFUNCTION("IMPORTRANGE(""https://docs.google.com/spreadsheets/d/1IYY_tgx_IHuhSq3AJ5eI5OnqOPBNLWSHKh2a30DoXe8/edit?usp=sharing"",""ยะลา!J369"")"),1357)</f>
        <v>1357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IFERROR(__xludf.DUMMYFUNCTION("IMPORTRANGE(""https://docs.google.com/spreadsheets/d/1IYY_tgx_IHuhSq3AJ5eI5OnqOPBNLWSHKh2a30DoXe8/edit?usp=sharing"",""ยะลา!I370"")"),0)</f>
        <v>0</v>
      </c>
      <c r="J475" s="195">
        <f ca="1">IFERROR(__xludf.DUMMYFUNCTION("IMPORTRANGE(""https://docs.google.com/spreadsheets/d/1IYY_tgx_IHuhSq3AJ5eI5OnqOPBNLWSHKh2a30DoXe8/edit?usp=sharing"",""ยะลา!J370"")"),4970)</f>
        <v>4970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IFERROR(__xludf.DUMMYFUNCTION("IMPORTRANGE(""https://docs.google.com/spreadsheets/d/1IYY_tgx_IHuhSq3AJ5eI5OnqOPBNLWSHKh2a30DoXe8/edit?usp=sharing"",""ยะลา!I371"")"),0)</f>
        <v>0</v>
      </c>
      <c r="J476" s="195">
        <f ca="1">IFERROR(__xludf.DUMMYFUNCTION("IMPORTRANGE(""https://docs.google.com/spreadsheets/d/1IYY_tgx_IHuhSq3AJ5eI5OnqOPBNLWSHKh2a30DoXe8/edit?usp=sharing"",""ยะลา!J371"")"),1290)</f>
        <v>1290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IFERROR(__xludf.DUMMYFUNCTION("IMPORTRANGE(""https://docs.google.com/spreadsheets/d/1IYY_tgx_IHuhSq3AJ5eI5OnqOPBNLWSHKh2a30DoXe8/edit?usp=sharing"",""ยะลา!I372"")"),0)</f>
        <v>0</v>
      </c>
      <c r="J477" s="195">
        <f ca="1">IFERROR(__xludf.DUMMYFUNCTION("IMPORTRANGE(""https://docs.google.com/spreadsheets/d/1IYY_tgx_IHuhSq3AJ5eI5OnqOPBNLWSHKh2a30DoXe8/edit?usp=sharing"",""ยะลา!J372"")"),237)</f>
        <v>237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IFERROR(__xludf.DUMMYFUNCTION("IMPORTRANGE(""https://docs.google.com/spreadsheets/d/1IYY_tgx_IHuhSq3AJ5eI5OnqOPBNLWSHKh2a30DoXe8/edit?usp=sharing"",""ยะลา!I373"")"),0)</f>
        <v>0</v>
      </c>
      <c r="J478" s="195">
        <f ca="1">IFERROR(__xludf.DUMMYFUNCTION("IMPORTRANGE(""https://docs.google.com/spreadsheets/d/1IYY_tgx_IHuhSq3AJ5eI5OnqOPBNLWSHKh2a30DoXe8/edit?usp=sharing"",""ยะลา!J373"")"),32)</f>
        <v>32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IFERROR(__xludf.DUMMYFUNCTION("IMPORTRANGE(""https://docs.google.com/spreadsheets/d/1IYY_tgx_IHuhSq3AJ5eI5OnqOPBNLWSHKh2a30DoXe8/edit?usp=sharing"",""ยะลา!I374"")"),0)</f>
        <v>0</v>
      </c>
      <c r="J479" s="195">
        <f ca="1">IFERROR(__xludf.DUMMYFUNCTION("IMPORTRANGE(""https://docs.google.com/spreadsheets/d/1IYY_tgx_IHuhSq3AJ5eI5OnqOPBNLWSHKh2a30DoXe8/edit?usp=sharing"",""ยะลา!J374"")"),184)</f>
        <v>184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IFERROR(__xludf.DUMMYFUNCTION("IMPORTRANGE(""https://docs.google.com/spreadsheets/d/1IYY_tgx_IHuhSq3AJ5eI5OnqOPBNLWSHKh2a30DoXe8/edit?usp=sharing"",""ยะลา!I375"")"),0)</f>
        <v>0</v>
      </c>
      <c r="J480" s="195">
        <f ca="1">IFERROR(__xludf.DUMMYFUNCTION("IMPORTRANGE(""https://docs.google.com/spreadsheets/d/1IYY_tgx_IHuhSq3AJ5eI5OnqOPBNLWSHKh2a30DoXe8/edit?usp=sharing"",""ยะลา!J375"")"),35)</f>
        <v>35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IFERROR(__xludf.DUMMYFUNCTION("IMPORTRANGE(""https://docs.google.com/spreadsheets/d/1IYY_tgx_IHuhSq3AJ5eI5OnqOPBNLWSHKh2a30DoXe8/edit?usp=sharing"",""ยะลา!J376"")"),5391)</f>
        <v>5391</v>
      </c>
      <c r="K481" s="208">
        <f t="shared" ca="1" si="117"/>
        <v>100.01855287569573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IFERROR(__xludf.DUMMYFUNCTION("IMPORTRANGE(""https://docs.google.com/spreadsheets/d/1IYY_tgx_IHuhSq3AJ5eI5OnqOPBNLWSHKh2a30DoXe8/edit?usp=sharing"",""ยะลา!J377"")"),1357)</f>
        <v>1357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IFERROR(__xludf.DUMMYFUNCTION("IMPORTRANGE(""https://docs.google.com/spreadsheets/d/1IYY_tgx_IHuhSq3AJ5eI5OnqOPBNLWSHKh2a30DoXe8/edit?usp=sharing"",""ยะลา!I378"")"),0)</f>
        <v>0</v>
      </c>
      <c r="J483" s="195">
        <f ca="1">IFERROR(__xludf.DUMMYFUNCTION("IMPORTRANGE(""https://docs.google.com/spreadsheets/d/1IYY_tgx_IHuhSq3AJ5eI5OnqOPBNLWSHKh2a30DoXe8/edit?usp=sharing"",""ยะลา!J378"")"),5157)</f>
        <v>5157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IFERROR(__xludf.DUMMYFUNCTION("IMPORTRANGE(""https://docs.google.com/spreadsheets/d/1IYY_tgx_IHuhSq3AJ5eI5OnqOPBNLWSHKh2a30DoXe8/edit?usp=sharing"",""ยะลา!I379"")"),0)</f>
        <v>0</v>
      </c>
      <c r="J484" s="195">
        <f ca="1">IFERROR(__xludf.DUMMYFUNCTION("IMPORTRANGE(""https://docs.google.com/spreadsheets/d/1IYY_tgx_IHuhSq3AJ5eI5OnqOPBNLWSHKh2a30DoXe8/edit?usp=sharing"",""ยะลา!J379"")"),1314)</f>
        <v>1314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IFERROR(__xludf.DUMMYFUNCTION("IMPORTRANGE(""https://docs.google.com/spreadsheets/d/1IYY_tgx_IHuhSq3AJ5eI5OnqOPBNLWSHKh2a30DoXe8/edit?usp=sharing"",""ยะลา!I380"")"),0)</f>
        <v>0</v>
      </c>
      <c r="J485" s="195">
        <f ca="1">IFERROR(__xludf.DUMMYFUNCTION("IMPORTRANGE(""https://docs.google.com/spreadsheets/d/1IYY_tgx_IHuhSq3AJ5eI5OnqOPBNLWSHKh2a30DoXe8/edit?usp=sharing"",""ยะลา!J380"")"),0)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IFERROR(__xludf.DUMMYFUNCTION("IMPORTRANGE(""https://docs.google.com/spreadsheets/d/1IYY_tgx_IHuhSq3AJ5eI5OnqOPBNLWSHKh2a30DoXe8/edit?usp=sharing"",""ยะลา!I381"")"),0)</f>
        <v>0</v>
      </c>
      <c r="J486" s="195">
        <f ca="1">IFERROR(__xludf.DUMMYFUNCTION("IMPORTRANGE(""https://docs.google.com/spreadsheets/d/1IYY_tgx_IHuhSq3AJ5eI5OnqOPBNLWSHKh2a30DoXe8/edit?usp=sharing"",""ยะลา!J381"")"),0)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IFERROR(__xludf.DUMMYFUNCTION("IMPORTRANGE(""https://docs.google.com/spreadsheets/d/1IYY_tgx_IHuhSq3AJ5eI5OnqOPBNLWSHKh2a30DoXe8/edit?usp=sharing"",""ยะลา!J382"")"),184)</f>
        <v>184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IFERROR(__xludf.DUMMYFUNCTION("IMPORTRANGE(""https://docs.google.com/spreadsheets/d/1IYY_tgx_IHuhSq3AJ5eI5OnqOPBNLWSHKh2a30DoXe8/edit?usp=sharing"",""ยะลา!J383"")"),35)</f>
        <v>35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IFERROR(__xludf.DUMMYFUNCTION("IMPORTRANGE(""https://docs.google.com/spreadsheets/d/1IYY_tgx_IHuhSq3AJ5eI5OnqOPBNLWSHKh2a30DoXe8/edit?usp=sharing"",""ยะลา!I384"")"),0)</f>
        <v>0</v>
      </c>
      <c r="J489" s="195">
        <f ca="1">IFERROR(__xludf.DUMMYFUNCTION("IMPORTRANGE(""https://docs.google.com/spreadsheets/d/1IYY_tgx_IHuhSq3AJ5eI5OnqOPBNLWSHKh2a30DoXe8/edit?usp=sharing"",""ยะลา!J384"")"),184)</f>
        <v>184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IFERROR(__xludf.DUMMYFUNCTION("IMPORTRANGE(""https://docs.google.com/spreadsheets/d/1IYY_tgx_IHuhSq3AJ5eI5OnqOPBNLWSHKh2a30DoXe8/edit?usp=sharing"",""ยะลา!I385"")"),0)</f>
        <v>0</v>
      </c>
      <c r="J490" s="195">
        <f ca="1">IFERROR(__xludf.DUMMYFUNCTION("IMPORTRANGE(""https://docs.google.com/spreadsheets/d/1IYY_tgx_IHuhSq3AJ5eI5OnqOPBNLWSHKh2a30DoXe8/edit?usp=sharing"",""ยะลา!J385"")"),35)</f>
        <v>35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IFERROR(__xludf.DUMMYFUNCTION("IMPORTRANGE(""https://docs.google.com/spreadsheets/d/1IYY_tgx_IHuhSq3AJ5eI5OnqOPBNLWSHKh2a30DoXe8/edit?usp=sharing"",""ยะลา!I386"")"),0)</f>
        <v>0</v>
      </c>
      <c r="J491" s="195">
        <f ca="1">IFERROR(__xludf.DUMMYFUNCTION("IMPORTRANGE(""https://docs.google.com/spreadsheets/d/1IYY_tgx_IHuhSq3AJ5eI5OnqOPBNLWSHKh2a30DoXe8/edit?usp=sharing"",""ยะลา!J386"")"),0)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IFERROR(__xludf.DUMMYFUNCTION("IMPORTRANGE(""https://docs.google.com/spreadsheets/d/1IYY_tgx_IHuhSq3AJ5eI5OnqOPBNLWSHKh2a30DoXe8/edit?usp=sharing"",""ยะลา!I387"")"),0)</f>
        <v>0</v>
      </c>
      <c r="J492" s="195">
        <f ca="1">IFERROR(__xludf.DUMMYFUNCTION("IMPORTRANGE(""https://docs.google.com/spreadsheets/d/1IYY_tgx_IHuhSq3AJ5eI5OnqOPBNLWSHKh2a30DoXe8/edit?usp=sharing"",""ยะลา!J387"")"),0)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IFERROR(__xludf.DUMMYFUNCTION("IMPORTRANGE(""https://docs.google.com/spreadsheets/d/1IYY_tgx_IHuhSq3AJ5eI5OnqOPBNLWSHKh2a30DoXe8/edit?usp=sharing"",""ยะลา!I388"")"),0)</f>
        <v>0</v>
      </c>
      <c r="J493" s="195">
        <f ca="1">IFERROR(__xludf.DUMMYFUNCTION("IMPORTRANGE(""https://docs.google.com/spreadsheets/d/1IYY_tgx_IHuhSq3AJ5eI5OnqOPBNLWSHKh2a30DoXe8/edit?usp=sharing"",""ยะลา!J388"")"),50)</f>
        <v>50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IFERROR(__xludf.DUMMYFUNCTION("IMPORTRANGE(""https://docs.google.com/spreadsheets/d/1IYY_tgx_IHuhSq3AJ5eI5OnqOPBNLWSHKh2a30DoXe8/edit?usp=sharing"",""ยะลา!J389"")"),8)</f>
        <v>8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IFERROR(__xludf.DUMMYFUNCTION("IMPORTRANGE(""https://docs.google.com/spreadsheets/d/1IYY_tgx_IHuhSq3AJ5eI5OnqOPBNLWSHKh2a30DoXe8/edit?usp=sharing"",""ยะลา!I395"")"),0)</f>
        <v>0</v>
      </c>
      <c r="J500" s="166">
        <f ca="1">IFERROR(__xludf.DUMMYFUNCTION("IMPORTRANGE(""https://docs.google.com/spreadsheets/d/1IYY_tgx_IHuhSq3AJ5eI5OnqOPBNLWSHKh2a30DoXe8/edit?usp=sharing"",""ยะลา!J395"")"),0)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IFERROR(__xludf.DUMMYFUNCTION("IMPORTRANGE(""https://docs.google.com/spreadsheets/d/1IYY_tgx_IHuhSq3AJ5eI5OnqOPBNLWSHKh2a30DoXe8/edit?usp=sharing"",""ยะลา!I396"")"),0)</f>
        <v>0</v>
      </c>
      <c r="J501" s="166">
        <f ca="1">IFERROR(__xludf.DUMMYFUNCTION("IMPORTRANGE(""https://docs.google.com/spreadsheets/d/1IYY_tgx_IHuhSq3AJ5eI5OnqOPBNLWSHKh2a30DoXe8/edit?usp=sharing"",""ยะลา!J396"")"),0)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IFERROR(__xludf.DUMMYFUNCTION("IMPORTRANGE(""https://docs.google.com/spreadsheets/d/1IYY_tgx_IHuhSq3AJ5eI5OnqOPBNLWSHKh2a30DoXe8/edit?usp=sharing"",""ยะลา!I397"")"),0)</f>
        <v>0</v>
      </c>
      <c r="J502" s="195">
        <f ca="1">IFERROR(__xludf.DUMMYFUNCTION("IMPORTRANGE(""https://docs.google.com/spreadsheets/d/1IYY_tgx_IHuhSq3AJ5eI5OnqOPBNLWSHKh2a30DoXe8/edit?usp=sharing"",""ยะลา!J397"")"),0)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IFERROR(__xludf.DUMMYFUNCTION("IMPORTRANGE(""https://docs.google.com/spreadsheets/d/1IYY_tgx_IHuhSq3AJ5eI5OnqOPBNLWSHKh2a30DoXe8/edit?usp=sharing"",""ยะลา!I398"")"),0)</f>
        <v>0</v>
      </c>
      <c r="J503" s="204">
        <f ca="1">IFERROR(__xludf.DUMMYFUNCTION("IMPORTRANGE(""https://docs.google.com/spreadsheets/d/1IYY_tgx_IHuhSq3AJ5eI5OnqOPBNLWSHKh2a30DoXe8/edit?usp=sharing"",""ยะลา!J398"")"),0)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IFERROR(__xludf.DUMMYFUNCTION("IMPORTRANGE(""https://docs.google.com/spreadsheets/d/1IYY_tgx_IHuhSq3AJ5eI5OnqOPBNLWSHKh2a30DoXe8/edit?usp=sharing"",""ยะลา!I399"")"),0)</f>
        <v>0</v>
      </c>
      <c r="J504" s="195">
        <f ca="1">IFERROR(__xludf.DUMMYFUNCTION("IMPORTRANGE(""https://docs.google.com/spreadsheets/d/1IYY_tgx_IHuhSq3AJ5eI5OnqOPBNLWSHKh2a30DoXe8/edit?usp=sharing"",""ยะลา!J399"")"),0)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IFERROR(__xludf.DUMMYFUNCTION("IMPORTRANGE(""https://docs.google.com/spreadsheets/d/1IYY_tgx_IHuhSq3AJ5eI5OnqOPBNLWSHKh2a30DoXe8/edit?usp=sharing"",""ยะลา!I400"")"),0)</f>
        <v>0</v>
      </c>
      <c r="J505" s="204">
        <f ca="1">IFERROR(__xludf.DUMMYFUNCTION("IMPORTRANGE(""https://docs.google.com/spreadsheets/d/1IYY_tgx_IHuhSq3AJ5eI5OnqOPBNLWSHKh2a30DoXe8/edit?usp=sharing"",""ยะลา!J400"")"),0)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IFERROR(__xludf.DUMMYFUNCTION("IMPORTRANGE(""https://docs.google.com/spreadsheets/d/1IYY_tgx_IHuhSq3AJ5eI5OnqOPBNLWSHKh2a30DoXe8/edit?usp=sharing"",""ยะลา!I401"")"),0)</f>
        <v>0</v>
      </c>
      <c r="J506" s="195">
        <f ca="1">IFERROR(__xludf.DUMMYFUNCTION("IMPORTRANGE(""https://docs.google.com/spreadsheets/d/1IYY_tgx_IHuhSq3AJ5eI5OnqOPBNLWSHKh2a30DoXe8/edit?usp=sharing"",""ยะลา!J401"")"),0)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IFERROR(__xludf.DUMMYFUNCTION("IMPORTRANGE(""https://docs.google.com/spreadsheets/d/1IYY_tgx_IHuhSq3AJ5eI5OnqOPBNLWSHKh2a30DoXe8/edit?usp=sharing"",""ยะลา!I402"")"),0)</f>
        <v>0</v>
      </c>
      <c r="J507" s="204">
        <f ca="1">IFERROR(__xludf.DUMMYFUNCTION("IMPORTRANGE(""https://docs.google.com/spreadsheets/d/1IYY_tgx_IHuhSq3AJ5eI5OnqOPBNLWSHKh2a30DoXe8/edit?usp=sharing"",""ยะลา!J402"")"),0)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IFERROR(__xludf.DUMMYFUNCTION("IMPORTRANGE(""https://docs.google.com/spreadsheets/d/1IYY_tgx_IHuhSq3AJ5eI5OnqOPBNLWSHKh2a30DoXe8/edit?usp=sharing"",""ยะลา!I403"")"),0)</f>
        <v>0</v>
      </c>
      <c r="J508" s="166">
        <f ca="1">IFERROR(__xludf.DUMMYFUNCTION("IMPORTRANGE(""https://docs.google.com/spreadsheets/d/1IYY_tgx_IHuhSq3AJ5eI5OnqOPBNLWSHKh2a30DoXe8/edit?usp=sharing"",""ยะลา!J403"")"),0)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IFERROR(__xludf.DUMMYFUNCTION("IMPORTRANGE(""https://docs.google.com/spreadsheets/d/1IYY_tgx_IHuhSq3AJ5eI5OnqOPBNLWSHKh2a30DoXe8/edit?usp=sharing"",""ยะลา!I404"")"),0)</f>
        <v>0</v>
      </c>
      <c r="J509" s="166">
        <f ca="1">IFERROR(__xludf.DUMMYFUNCTION("IMPORTRANGE(""https://docs.google.com/spreadsheets/d/1IYY_tgx_IHuhSq3AJ5eI5OnqOPBNLWSHKh2a30DoXe8/edit?usp=sharing"",""ยะลา!J404"")"),0)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IFERROR(__xludf.DUMMYFUNCTION("IMPORTRANGE(""https://docs.google.com/spreadsheets/d/1IYY_tgx_IHuhSq3AJ5eI5OnqOPBNLWSHKh2a30DoXe8/edit?usp=sharing"",""ยะลา!I405"")"),0)</f>
        <v>0</v>
      </c>
      <c r="J510" s="204">
        <f ca="1">IFERROR(__xludf.DUMMYFUNCTION("IMPORTRANGE(""https://docs.google.com/spreadsheets/d/1IYY_tgx_IHuhSq3AJ5eI5OnqOPBNLWSHKh2a30DoXe8/edit?usp=sharing"",""ยะลา!J405"")"),0)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IFERROR(__xludf.DUMMYFUNCTION("IMPORTRANGE(""https://docs.google.com/spreadsheets/d/1IYY_tgx_IHuhSq3AJ5eI5OnqOPBNLWSHKh2a30DoXe8/edit?usp=sharing"",""ยะลา!I406"")"),0)</f>
        <v>0</v>
      </c>
      <c r="J511" s="204">
        <f ca="1">IFERROR(__xludf.DUMMYFUNCTION("IMPORTRANGE(""https://docs.google.com/spreadsheets/d/1IYY_tgx_IHuhSq3AJ5eI5OnqOPBNLWSHKh2a30DoXe8/edit?usp=sharing"",""ยะลา!J406"")"),0)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IFERROR(__xludf.DUMMYFUNCTION("IMPORTRANGE(""https://docs.google.com/spreadsheets/d/1IYY_tgx_IHuhSq3AJ5eI5OnqOPBNLWSHKh2a30DoXe8/edit?usp=sharing"",""ยะลา!I407"")"),0)</f>
        <v>0</v>
      </c>
      <c r="J512" s="204">
        <f ca="1">IFERROR(__xludf.DUMMYFUNCTION("IMPORTRANGE(""https://docs.google.com/spreadsheets/d/1IYY_tgx_IHuhSq3AJ5eI5OnqOPBNLWSHKh2a30DoXe8/edit?usp=sharing"",""ยะลา!J407"")"),0)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IFERROR(__xludf.DUMMYFUNCTION("IMPORTRANGE(""https://docs.google.com/spreadsheets/d/1IYY_tgx_IHuhSq3AJ5eI5OnqOPBNLWSHKh2a30DoXe8/edit?usp=sharing"",""ยะลา!I408"")"),0)</f>
        <v>0</v>
      </c>
      <c r="J513" s="204">
        <f ca="1">IFERROR(__xludf.DUMMYFUNCTION("IMPORTRANGE(""https://docs.google.com/spreadsheets/d/1IYY_tgx_IHuhSq3AJ5eI5OnqOPBNLWSHKh2a30DoXe8/edit?usp=sharing"",""ยะลา!J408"")"),0)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IFERROR(__xludf.DUMMYFUNCTION("IMPORTRANGE(""https://docs.google.com/spreadsheets/d/1IYY_tgx_IHuhSq3AJ5eI5OnqOPBNLWSHKh2a30DoXe8/edit?usp=sharing"",""ยะลา!I409"")"),0)</f>
        <v>0</v>
      </c>
      <c r="J514" s="204">
        <f ca="1">IFERROR(__xludf.DUMMYFUNCTION("IMPORTRANGE(""https://docs.google.com/spreadsheets/d/1IYY_tgx_IHuhSq3AJ5eI5OnqOPBNLWSHKh2a30DoXe8/edit?usp=sharing"",""ยะลา!J409"")"),0)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IFERROR(__xludf.DUMMYFUNCTION("IMPORTRANGE(""https://docs.google.com/spreadsheets/d/1IYY_tgx_IHuhSq3AJ5eI5OnqOPBNLWSHKh2a30DoXe8/edit?usp=sharing"",""ยะลา!I410"")"),0)</f>
        <v>0</v>
      </c>
      <c r="J515" s="204">
        <f ca="1">IFERROR(__xludf.DUMMYFUNCTION("IMPORTRANGE(""https://docs.google.com/spreadsheets/d/1IYY_tgx_IHuhSq3AJ5eI5OnqOPBNLWSHKh2a30DoXe8/edit?usp=sharing"",""ยะลา!J410"")"),0)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IFERROR(__xludf.DUMMYFUNCTION("IMPORTRANGE(""https://docs.google.com/spreadsheets/d/1IYY_tgx_IHuhSq3AJ5eI5OnqOPBNLWSHKh2a30DoXe8/edit?usp=sharing"",""ยะลา!I411"")"),0)</f>
        <v>0</v>
      </c>
      <c r="J516" s="273">
        <f ca="1">IFERROR(__xludf.DUMMYFUNCTION("IMPORTRANGE(""https://docs.google.com/spreadsheets/d/1IYY_tgx_IHuhSq3AJ5eI5OnqOPBNLWSHKh2a30DoXe8/edit?usp=sharing"",""ยะลา!J411"")"),0)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IFERROR(__xludf.DUMMYFUNCTION("IMPORTRANGE(""https://docs.google.com/spreadsheets/d/1IYY_tgx_IHuhSq3AJ5eI5OnqOPBNLWSHKh2a30DoXe8/edit?usp=sharing"",""ยะลา!I414"")"),0)</f>
        <v>0</v>
      </c>
      <c r="J519" s="194">
        <f ca="1">IFERROR(__xludf.DUMMYFUNCTION("IMPORTRANGE(""https://docs.google.com/spreadsheets/d/1IYY_tgx_IHuhSq3AJ5eI5OnqOPBNLWSHKh2a30DoXe8/edit?usp=sharing"",""ยะลา!J414"")"),0)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IFERROR(__xludf.DUMMYFUNCTION("IMPORTRANGE(""https://docs.google.com/spreadsheets/d/1IYY_tgx_IHuhSq3AJ5eI5OnqOPBNLWSHKh2a30DoXe8/edit?usp=sharing"",""ยะลา!I415"")"),0)</f>
        <v>0</v>
      </c>
      <c r="J520" s="194">
        <f ca="1">IFERROR(__xludf.DUMMYFUNCTION("IMPORTRANGE(""https://docs.google.com/spreadsheets/d/1IYY_tgx_IHuhSq3AJ5eI5OnqOPBNLWSHKh2a30DoXe8/edit?usp=sharing"",""ยะลา!J415"")"),0)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IFERROR(__xludf.DUMMYFUNCTION("IMPORTRANGE(""https://docs.google.com/spreadsheets/d/1IYY_tgx_IHuhSq3AJ5eI5OnqOPBNLWSHKh2a30DoXe8/edit?usp=sharing"",""ยะลา!I416"")"),0)</f>
        <v>0</v>
      </c>
      <c r="J521" s="194">
        <f ca="1">IFERROR(__xludf.DUMMYFUNCTION("IMPORTRANGE(""https://docs.google.com/spreadsheets/d/1IYY_tgx_IHuhSq3AJ5eI5OnqOPBNLWSHKh2a30DoXe8/edit?usp=sharing"",""ยะลา!J416"")"),0)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IFERROR(__xludf.DUMMYFUNCTION("IMPORTRANGE(""https://docs.google.com/spreadsheets/d/1IYY_tgx_IHuhSq3AJ5eI5OnqOPBNLWSHKh2a30DoXe8/edit?usp=sharing"",""ยะลา!I417"")"),0)</f>
        <v>0</v>
      </c>
      <c r="J522" s="194">
        <f ca="1">IFERROR(__xludf.DUMMYFUNCTION("IMPORTRANGE(""https://docs.google.com/spreadsheets/d/1IYY_tgx_IHuhSq3AJ5eI5OnqOPBNLWSHKh2a30DoXe8/edit?usp=sharing"",""ยะลา!J417"")"),0)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IFERROR(__xludf.DUMMYFUNCTION("IMPORTRANGE(""https://docs.google.com/spreadsheets/d/1IYY_tgx_IHuhSq3AJ5eI5OnqOPBNLWSHKh2a30DoXe8/edit?usp=sharing"",""ยะลา!I418"")"),0)</f>
        <v>0</v>
      </c>
      <c r="J523" s="194">
        <f ca="1">IFERROR(__xludf.DUMMYFUNCTION("IMPORTRANGE(""https://docs.google.com/spreadsheets/d/1IYY_tgx_IHuhSq3AJ5eI5OnqOPBNLWSHKh2a30DoXe8/edit?usp=sharing"",""ยะลา!J418"")"),0)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IFERROR(__xludf.DUMMYFUNCTION("IMPORTRANGE(""https://docs.google.com/spreadsheets/d/1IYY_tgx_IHuhSq3AJ5eI5OnqOPBNLWSHKh2a30DoXe8/edit?usp=sharing"",""ยะลา!I419"")"),0)</f>
        <v>0</v>
      </c>
      <c r="J524" s="194">
        <f ca="1">IFERROR(__xludf.DUMMYFUNCTION("IMPORTRANGE(""https://docs.google.com/spreadsheets/d/1IYY_tgx_IHuhSq3AJ5eI5OnqOPBNLWSHKh2a30DoXe8/edit?usp=sharing"",""ยะลา!J419"")"),0)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IFERROR(__xludf.DUMMYFUNCTION("IMPORTRANGE(""https://docs.google.com/spreadsheets/d/1IYY_tgx_IHuhSq3AJ5eI5OnqOPBNLWSHKh2a30DoXe8/edit?usp=sharing"",""ยะลา!I422"")"),0)</f>
        <v>0</v>
      </c>
      <c r="J527" s="204">
        <f ca="1">IFERROR(__xludf.DUMMYFUNCTION("IMPORTRANGE(""https://docs.google.com/spreadsheets/d/1IYY_tgx_IHuhSq3AJ5eI5OnqOPBNLWSHKh2a30DoXe8/edit?usp=sharing"",""ยะลา!J422"")"),0)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IFERROR(__xludf.DUMMYFUNCTION("IMPORTRANGE(""https://docs.google.com/spreadsheets/d/1IYY_tgx_IHuhSq3AJ5eI5OnqOPBNLWSHKh2a30DoXe8/edit?usp=sharing"",""ยะลา!I423"")"),0)</f>
        <v>0</v>
      </c>
      <c r="J528" s="204">
        <f ca="1">IFERROR(__xludf.DUMMYFUNCTION("IMPORTRANGE(""https://docs.google.com/spreadsheets/d/1IYY_tgx_IHuhSq3AJ5eI5OnqOPBNLWSHKh2a30DoXe8/edit?usp=sharing"",""ยะลา!J423"")"),0)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IFERROR(__xludf.DUMMYFUNCTION("IMPORTRANGE(""https://docs.google.com/spreadsheets/d/1IYY_tgx_IHuhSq3AJ5eI5OnqOPBNLWSHKh2a30DoXe8/edit?usp=sharing"",""ยะลา!I424"")"),0)</f>
        <v>0</v>
      </c>
      <c r="J529" s="204">
        <f ca="1">IFERROR(__xludf.DUMMYFUNCTION("IMPORTRANGE(""https://docs.google.com/spreadsheets/d/1IYY_tgx_IHuhSq3AJ5eI5OnqOPBNLWSHKh2a30DoXe8/edit?usp=sharing"",""ยะลา!J424"")"),0)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IFERROR(__xludf.DUMMYFUNCTION("IMPORTRANGE(""https://docs.google.com/spreadsheets/d/1IYY_tgx_IHuhSq3AJ5eI5OnqOPBNLWSHKh2a30DoXe8/edit?usp=sharing"",""ยะลา!I425"")"),0)</f>
        <v>0</v>
      </c>
      <c r="J530" s="204">
        <f ca="1">IFERROR(__xludf.DUMMYFUNCTION("IMPORTRANGE(""https://docs.google.com/spreadsheets/d/1IYY_tgx_IHuhSq3AJ5eI5OnqOPBNLWSHKh2a30DoXe8/edit?usp=sharing"",""ยะลา!J425"")"),0)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IFERROR(__xludf.DUMMYFUNCTION("IMPORTRANGE(""https://docs.google.com/spreadsheets/d/1IYY_tgx_IHuhSq3AJ5eI5OnqOPBNLWSHKh2a30DoXe8/edit?usp=sharing"",""ยะลา!I426"")"),0)</f>
        <v>0</v>
      </c>
      <c r="J531" s="204">
        <f ca="1">IFERROR(__xludf.DUMMYFUNCTION("IMPORTRANGE(""https://docs.google.com/spreadsheets/d/1IYY_tgx_IHuhSq3AJ5eI5OnqOPBNLWSHKh2a30DoXe8/edit?usp=sharing"",""ยะลา!J426"")"),0)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IFERROR(__xludf.DUMMYFUNCTION("IMPORTRANGE(""https://docs.google.com/spreadsheets/d/1IYY_tgx_IHuhSq3AJ5eI5OnqOPBNLWSHKh2a30DoXe8/edit?usp=sharing"",""ยะลา!L429"")"),0)</f>
        <v>0</v>
      </c>
      <c r="M534" s="168"/>
      <c r="N534" s="175">
        <f ca="1">IFERROR(__xludf.DUMMYFUNCTION("IMPORTRANGE(""https://docs.google.com/spreadsheets/d/1IYY_tgx_IHuhSq3AJ5eI5OnqOPBNLWSHKh2a30DoXe8/edit?usp=sharing"",""ยะลา!M429"")"),0)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5">
        <f ca="1">IFERROR(__xludf.DUMMYFUNCTION("IMPORTRANGE(""https://docs.google.com/spreadsheets/d/1IYY_tgx_IHuhSq3AJ5eI5OnqOPBNLWSHKh2a30DoXe8/edit?usp=sharing"",""ยะลา!M430"")"),16350)</f>
        <v>16350</v>
      </c>
      <c r="O535" s="175">
        <f t="shared" ca="1" si="118"/>
        <v>55.916552667578657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IFERROR(__xludf.DUMMYFUNCTION("IMPORTRANGE(""https://docs.google.com/spreadsheets/d/1IYY_tgx_IHuhSq3AJ5eI5OnqOPBNLWSHKh2a30DoXe8/edit?usp=sharing"",""ยะลา!L431"")"),0)</f>
        <v>0</v>
      </c>
      <c r="M536" s="175"/>
      <c r="N536" s="175">
        <f ca="1">IFERROR(__xludf.DUMMYFUNCTION("IMPORTRANGE(""https://docs.google.com/spreadsheets/d/1IYY_tgx_IHuhSq3AJ5eI5OnqOPBNLWSHKh2a30DoXe8/edit?usp=sharing"",""ยะลา!M431"")"),0)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IFERROR(__xludf.DUMMYFUNCTION("IMPORTRANGE(""https://docs.google.com/spreadsheets/d/1IYY_tgx_IHuhSq3AJ5eI5OnqOPBNLWSHKh2a30DoXe8/edit?usp=sharing"",""ยะลา!L432"")"),29240)</f>
        <v>29240</v>
      </c>
      <c r="M537" s="175"/>
      <c r="N537" s="175">
        <f ca="1">IFERROR(__xludf.DUMMYFUNCTION("IMPORTRANGE(""https://docs.google.com/spreadsheets/d/1IYY_tgx_IHuhSq3AJ5eI5OnqOPBNLWSHKh2a30DoXe8/edit?usp=sharing"",""ยะลา!M432"")"),16350)</f>
        <v>16350</v>
      </c>
      <c r="O537" s="175">
        <f t="shared" ca="1" si="118"/>
        <v>55.916552667578657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IFERROR(__xludf.DUMMYFUNCTION("IMPORTRANGE(""https://docs.google.com/spreadsheets/d/1IYY_tgx_IHuhSq3AJ5eI5OnqOPBNLWSHKh2a30DoXe8/edit?usp=sharing"",""ยะลา!J438"")"),0)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IFERROR(__xludf.DUMMYFUNCTION("IMPORTRANGE(""https://docs.google.com/spreadsheets/d/1IYY_tgx_IHuhSq3AJ5eI5OnqOPBNLWSHKh2a30DoXe8/edit?usp=sharing"",""ยะลา!J439"")"),1)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IFERROR(__xludf.DUMMYFUNCTION("IMPORTRANGE(""https://docs.google.com/spreadsheets/d/1IYY_tgx_IHuhSq3AJ5eI5OnqOPBNLWSHKh2a30DoXe8/edit?usp=sharing"",""ยะลา!J440"")"),1)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IFERROR(__xludf.DUMMYFUNCTION("IMPORTRANGE(""https://docs.google.com/spreadsheets/d/1IYY_tgx_IHuhSq3AJ5eI5OnqOPBNLWSHKh2a30DoXe8/edit?usp=sharing"",""ยะลา!J441"")"),1)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IFERROR(__xludf.DUMMYFUNCTION("IMPORTRANGE(""https://docs.google.com/spreadsheets/d/1IYY_tgx_IHuhSq3AJ5eI5OnqOPBNLWSHKh2a30DoXe8/edit?usp=sharing"",""ยะลา!I442"")"),16)</f>
        <v>16</v>
      </c>
      <c r="J547" s="195">
        <f ca="1">IFERROR(__xludf.DUMMYFUNCTION("IMPORTRANGE(""https://docs.google.com/spreadsheets/d/1IYY_tgx_IHuhSq3AJ5eI5OnqOPBNLWSHKh2a30DoXe8/edit?usp=sharing"",""ยะลา!J442"")"),16)</f>
        <v>16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IFERROR(__xludf.DUMMYFUNCTION("IMPORTRANGE(""https://docs.google.com/spreadsheets/d/1IYY_tgx_IHuhSq3AJ5eI5OnqOPBNLWSHKh2a30DoXe8/edit?usp=sharing"",""ยะลา!J166"")"),0)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IFERROR(__xludf.DUMMYFUNCTION("IMPORTRANGE(""https://docs.google.com/spreadsheets/d/1IYY_tgx_IHuhSq3AJ5eI5OnqOPBNLWSHKh2a30DoXe8/edit?usp=sharing"",""ยะลา!J444"")"),0)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IFERROR(__xludf.DUMMYFUNCTION("IMPORTRANGE(""https://docs.google.com/spreadsheets/d/1IYY_tgx_IHuhSq3AJ5eI5OnqOPBNLWSHKh2a30DoXe8/edit?usp=sharing"",""ยะลา!L447"")"),0)</f>
        <v>0</v>
      </c>
      <c r="M552" s="168"/>
      <c r="N552" s="175">
        <f ca="1">IFERROR(__xludf.DUMMYFUNCTION("IMPORTRANGE(""https://docs.google.com/spreadsheets/d/1IYY_tgx_IHuhSq3AJ5eI5OnqOPBNLWSHKh2a30DoXe8/edit?usp=sharing"",""ยะลา!M447"")"),0)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5">
        <f ca="1">IFERROR(__xludf.DUMMYFUNCTION("IMPORTRANGE(""https://docs.google.com/spreadsheets/d/1IYY_tgx_IHuhSq3AJ5eI5OnqOPBNLWSHKh2a30DoXe8/edit?usp=sharing"",""ยะลา!M448"")"),0)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IFERROR(__xludf.DUMMYFUNCTION("IMPORTRANGE(""https://docs.google.com/spreadsheets/d/1IYY_tgx_IHuhSq3AJ5eI5OnqOPBNLWSHKh2a30DoXe8/edit?usp=sharing"",""ยะลา!L449"")"),0)</f>
        <v>0</v>
      </c>
      <c r="M554" s="175"/>
      <c r="N554" s="175">
        <f ca="1">IFERROR(__xludf.DUMMYFUNCTION("IMPORTRANGE(""https://docs.google.com/spreadsheets/d/1IYY_tgx_IHuhSq3AJ5eI5OnqOPBNLWSHKh2a30DoXe8/edit?usp=sharing"",""ยะลา!M449"")"),0)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IFERROR(__xludf.DUMMYFUNCTION("IMPORTRANGE(""https://docs.google.com/spreadsheets/d/1IYY_tgx_IHuhSq3AJ5eI5OnqOPBNLWSHKh2a30DoXe8/edit?usp=sharing"",""ยะลา!L450"")"),0)</f>
        <v>0</v>
      </c>
      <c r="M555" s="175"/>
      <c r="N555" s="175">
        <f ca="1">IFERROR(__xludf.DUMMYFUNCTION("IMPORTRANGE(""https://docs.google.com/spreadsheets/d/1IYY_tgx_IHuhSq3AJ5eI5OnqOPBNLWSHKh2a30DoXe8/edit?usp=sharing"",""ยะลา!M450"")"),0)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IFERROR(__xludf.DUMMYFUNCTION("IMPORTRANGE(""https://docs.google.com/spreadsheets/d/1IYY_tgx_IHuhSq3AJ5eI5OnqOPBNLWSHKh2a30DoXe8/edit?usp=sharing"",""ยะลา!M451"")"),0)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IFERROR(__xludf.DUMMYFUNCTION("IMPORTRANGE(""https://docs.google.com/spreadsheets/d/1IYY_tgx_IHuhSq3AJ5eI5OnqOPBNLWSHKh2a30DoXe8/edit?usp=sharing"",""ยะลา!M452"")"),0)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IFERROR(__xludf.DUMMYFUNCTION("IMPORTRANGE(""https://docs.google.com/spreadsheets/d/1IYY_tgx_IHuhSq3AJ5eI5OnqOPBNLWSHKh2a30DoXe8/edit?usp=sharing"",""ยะลา!M453"")"),0)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IFERROR(__xludf.DUMMYFUNCTION("IMPORTRANGE(""https://docs.google.com/spreadsheets/d/1IYY_tgx_IHuhSq3AJ5eI5OnqOPBNLWSHKh2a30DoXe8/edit?usp=sharing"",""ยะลา!M454"")"),0)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IFERROR(__xludf.DUMMYFUNCTION("IMPORTRANGE(""https://docs.google.com/spreadsheets/d/1IYY_tgx_IHuhSq3AJ5eI5OnqOPBNLWSHKh2a30DoXe8/edit?usp=sharing"",""ยะลา!I455"")"),0)</f>
        <v>0</v>
      </c>
      <c r="J560" s="166">
        <f ca="1">IFERROR(__xludf.DUMMYFUNCTION("IMPORTRANGE(""https://docs.google.com/spreadsheets/d/1IYY_tgx_IHuhSq3AJ5eI5OnqOPBNLWSHKh2a30DoXe8/edit?usp=sharing"",""ยะลา!J455"")"),0)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IFERROR(__xludf.DUMMYFUNCTION("IMPORTRANGE(""https://docs.google.com/spreadsheets/d/1IYY_tgx_IHuhSq3AJ5eI5OnqOPBNLWSHKh2a30DoXe8/edit?usp=sharing"",""ยะลา!I456"")"),0)</f>
        <v>0</v>
      </c>
      <c r="J561" s="210">
        <f ca="1">IFERROR(__xludf.DUMMYFUNCTION("IMPORTRANGE(""https://docs.google.com/spreadsheets/d/1IYY_tgx_IHuhSq3AJ5eI5OnqOPBNLWSHKh2a30DoXe8/edit?usp=sharing"",""ยะลา!J456"")"),0)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IFERROR(__xludf.DUMMYFUNCTION("IMPORTRANGE(""https://docs.google.com/spreadsheets/d/1IYY_tgx_IHuhSq3AJ5eI5OnqOPBNLWSHKh2a30DoXe8/edit?usp=sharing"",""ยะลา!J459"")"),343)</f>
        <v>343</v>
      </c>
      <c r="K564" s="378">
        <f ca="1">IF(I564&gt;0,J564*100/I564,0)</f>
        <v>228.66666666666666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IFERROR(__xludf.DUMMYFUNCTION("IMPORTRANGE(""https://docs.google.com/spreadsheets/d/1IYY_tgx_IHuhSq3AJ5eI5OnqOPBNLWSHKh2a30DoXe8/edit?usp=sharing"",""ยะลา!M459"")"),82635.95)</f>
        <v>82635.95</v>
      </c>
      <c r="O564" s="379">
        <f t="shared" ref="O564:O568" ca="1" si="122">+IF(L564&gt;0,N564*100/L564,0)</f>
        <v>66.814319210866756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IFERROR(__xludf.DUMMYFUNCTION("IMPORTRANGE(""https://docs.google.com/spreadsheets/d/1IYY_tgx_IHuhSq3AJ5eI5OnqOPBNLWSHKh2a30DoXe8/edit?usp=sharing"",""ยะลา!L460"")"),0)</f>
        <v>0</v>
      </c>
      <c r="M565" s="168"/>
      <c r="N565" s="175">
        <f ca="1">IFERROR(__xludf.DUMMYFUNCTION("IMPORTRANGE(""https://docs.google.com/spreadsheets/d/1IYY_tgx_IHuhSq3AJ5eI5OnqOPBNLWSHKh2a30DoXe8/edit?usp=sharing"",""ยะลา!M460"")"),0)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5">
        <f ca="1">IFERROR(__xludf.DUMMYFUNCTION("IMPORTRANGE(""https://docs.google.com/spreadsheets/d/1IYY_tgx_IHuhSq3AJ5eI5OnqOPBNLWSHKh2a30DoXe8/edit?usp=sharing"",""ยะลา!M461"")"),82635.95)</f>
        <v>82635.95</v>
      </c>
      <c r="O566" s="175">
        <f t="shared" ca="1" si="122"/>
        <v>66.814319210866756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IFERROR(__xludf.DUMMYFUNCTION("IMPORTRANGE(""https://docs.google.com/spreadsheets/d/1IYY_tgx_IHuhSq3AJ5eI5OnqOPBNLWSHKh2a30DoXe8/edit?usp=sharing"",""ยะลา!L462"")"),0)</f>
        <v>0</v>
      </c>
      <c r="M567" s="175"/>
      <c r="N567" s="175">
        <f ca="1">IFERROR(__xludf.DUMMYFUNCTION("IMPORTRANGE(""https://docs.google.com/spreadsheets/d/1IYY_tgx_IHuhSq3AJ5eI5OnqOPBNLWSHKh2a30DoXe8/edit?usp=sharing"",""ยะลา!M462"")"),0)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IFERROR(__xludf.DUMMYFUNCTION("IMPORTRANGE(""https://docs.google.com/spreadsheets/d/1IYY_tgx_IHuhSq3AJ5eI5OnqOPBNLWSHKh2a30DoXe8/edit?usp=sharing"",""ยะลา!L463"")"),123680)</f>
        <v>123680</v>
      </c>
      <c r="M568" s="175"/>
      <c r="N568" s="175">
        <f ca="1">IFERROR(__xludf.DUMMYFUNCTION("IMPORTRANGE(""https://docs.google.com/spreadsheets/d/1IYY_tgx_IHuhSq3AJ5eI5OnqOPBNLWSHKh2a30DoXe8/edit?usp=sharing"",""ยะลา!M463"")"),82635.95)</f>
        <v>82635.95</v>
      </c>
      <c r="O568" s="175">
        <f t="shared" ca="1" si="122"/>
        <v>66.814319210866756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IFERROR(__xludf.DUMMYFUNCTION("IMPORTRANGE(""https://docs.google.com/spreadsheets/d/1IYY_tgx_IHuhSq3AJ5eI5OnqOPBNLWSHKh2a30DoXe8/edit?usp=sharing"",""ยะลา!M464"")"),0)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IFERROR(__xludf.DUMMYFUNCTION("IMPORTRANGE(""https://docs.google.com/spreadsheets/d/1IYY_tgx_IHuhSq3AJ5eI5OnqOPBNLWSHKh2a30DoXe8/edit?usp=sharing"",""ยะลา!M465"")"),0)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IFERROR(__xludf.DUMMYFUNCTION("IMPORTRANGE(""https://docs.google.com/spreadsheets/d/1IYY_tgx_IHuhSq3AJ5eI5OnqOPBNLWSHKh2a30DoXe8/edit?usp=sharing"",""ยะลา!M466"")"),64175.95)</f>
        <v>64175.95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IFERROR(__xludf.DUMMYFUNCTION("IMPORTRANGE(""https://docs.google.com/spreadsheets/d/1IYY_tgx_IHuhSq3AJ5eI5OnqOPBNLWSHKh2a30DoXe8/edit?usp=sharing"",""ยะลา!M467"")"),18460)</f>
        <v>18460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IFERROR(__xludf.DUMMYFUNCTION("IMPORTRANGE(""https://docs.google.com/spreadsheets/d/1IYY_tgx_IHuhSq3AJ5eI5OnqOPBNLWSHKh2a30DoXe8/edit?usp=sharing"",""ยะลา!J468"")"),343)</f>
        <v>343</v>
      </c>
      <c r="K573" s="208">
        <f ca="1">IF(I573&gt;0,J573*100/I573,0)</f>
        <v>228.66666666666666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IFERROR(__xludf.DUMMYFUNCTION("IMPORTRANGE(""https://docs.google.com/spreadsheets/d/1IYY_tgx_IHuhSq3AJ5eI5OnqOPBNLWSHKh2a30DoXe8/edit?usp=sharing"",""ยะลา!I470"")"),0)</f>
        <v>0</v>
      </c>
      <c r="J575" s="204">
        <f ca="1">IFERROR(__xludf.DUMMYFUNCTION("IMPORTRANGE(""https://docs.google.com/spreadsheets/d/1IYY_tgx_IHuhSq3AJ5eI5OnqOPBNLWSHKh2a30DoXe8/edit?usp=sharing"",""ยะลา!J470"")"),4)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IFERROR(__xludf.DUMMYFUNCTION("IMPORTRANGE(""https://docs.google.com/spreadsheets/d/1IYY_tgx_IHuhSq3AJ5eI5OnqOPBNLWSHKh2a30DoXe8/edit?usp=sharing"",""ยะลา!I471"")"),0)</f>
        <v>0</v>
      </c>
      <c r="J576" s="204">
        <f ca="1">IFERROR(__xludf.DUMMYFUNCTION("IMPORTRANGE(""https://docs.google.com/spreadsheets/d/1IYY_tgx_IHuhSq3AJ5eI5OnqOPBNLWSHKh2a30DoXe8/edit?usp=sharing"",""ยะลา!J471"")"),123)</f>
        <v>123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IFERROR(__xludf.DUMMYFUNCTION("IMPORTRANGE(""https://docs.google.com/spreadsheets/d/1IYY_tgx_IHuhSq3AJ5eI5OnqOPBNLWSHKh2a30DoXe8/edit?usp=sharing"",""ยะลา!I472"")"),0)</f>
        <v>0</v>
      </c>
      <c r="J577" s="195">
        <f ca="1">IFERROR(__xludf.DUMMYFUNCTION("IMPORTRANGE(""https://docs.google.com/spreadsheets/d/1IYY_tgx_IHuhSq3AJ5eI5OnqOPBNLWSHKh2a30DoXe8/edit?usp=sharing"",""ยะลา!J472"")"),220)</f>
        <v>220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IFERROR(__xludf.DUMMYFUNCTION("IMPORTRANGE(""https://docs.google.com/spreadsheets/d/1IYY_tgx_IHuhSq3AJ5eI5OnqOPBNLWSHKh2a30DoXe8/edit?usp=sharing"",""ยะลา!I473"")"),0)</f>
        <v>0</v>
      </c>
      <c r="J578" s="204">
        <f ca="1">IFERROR(__xludf.DUMMYFUNCTION("IMPORTRANGE(""https://docs.google.com/spreadsheets/d/1IYY_tgx_IHuhSq3AJ5eI5OnqOPBNLWSHKh2a30DoXe8/edit?usp=sharing"",""ยะลา!J473"")"),0)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IFERROR(__xludf.DUMMYFUNCTION("IMPORTRANGE(""https://docs.google.com/spreadsheets/d/1IYY_tgx_IHuhSq3AJ5eI5OnqOPBNLWSHKh2a30DoXe8/edit?usp=sharing"",""ยะลา!I474"")"),0)</f>
        <v>0</v>
      </c>
      <c r="J579" s="204">
        <f ca="1">IFERROR(__xludf.DUMMYFUNCTION("IMPORTRANGE(""https://docs.google.com/spreadsheets/d/1IYY_tgx_IHuhSq3AJ5eI5OnqOPBNLWSHKh2a30DoXe8/edit?usp=sharing"",""ยะลา!J474"")"),0)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IFERROR(__xludf.DUMMYFUNCTION("IMPORTRANGE(""https://docs.google.com/spreadsheets/d/1IYY_tgx_IHuhSq3AJ5eI5OnqOPBNLWSHKh2a30DoXe8/edit?usp=sharing"",""ยะลา!L476"")"),0)</f>
        <v>0</v>
      </c>
      <c r="M581" s="168"/>
      <c r="N581" s="175">
        <f ca="1">IFERROR(__xludf.DUMMYFUNCTION("IMPORTRANGE(""https://docs.google.com/spreadsheets/d/1IYY_tgx_IHuhSq3AJ5eI5OnqOPBNLWSHKh2a30DoXe8/edit?usp=sharing"",""ยะลา!M476"")"),0)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5">
        <f ca="1">IFERROR(__xludf.DUMMYFUNCTION("IMPORTRANGE(""https://docs.google.com/spreadsheets/d/1IYY_tgx_IHuhSq3AJ5eI5OnqOPBNLWSHKh2a30DoXe8/edit?usp=sharing"",""ยะลา!M477"")"),0)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IFERROR(__xludf.DUMMYFUNCTION("IMPORTRANGE(""https://docs.google.com/spreadsheets/d/1IYY_tgx_IHuhSq3AJ5eI5OnqOPBNLWSHKh2a30DoXe8/edit?usp=sharing"",""ยะลา!L478"")"),0)</f>
        <v>0</v>
      </c>
      <c r="M583" s="175"/>
      <c r="N583" s="175">
        <f ca="1">IFERROR(__xludf.DUMMYFUNCTION("IMPORTRANGE(""https://docs.google.com/spreadsheets/d/1IYY_tgx_IHuhSq3AJ5eI5OnqOPBNLWSHKh2a30DoXe8/edit?usp=sharing"",""ยะลา!M478"")"),0)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IFERROR(__xludf.DUMMYFUNCTION("IMPORTRANGE(""https://docs.google.com/spreadsheets/d/1IYY_tgx_IHuhSq3AJ5eI5OnqOPBNLWSHKh2a30DoXe8/edit?usp=sharing"",""ยะลา!L479"")"),0)</f>
        <v>0</v>
      </c>
      <c r="M584" s="175"/>
      <c r="N584" s="175">
        <f ca="1">IFERROR(__xludf.DUMMYFUNCTION("IMPORTRANGE(""https://docs.google.com/spreadsheets/d/1IYY_tgx_IHuhSq3AJ5eI5OnqOPBNLWSHKh2a30DoXe8/edit?usp=sharing"",""ยะลา!M479"")"),0)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IFERROR(__xludf.DUMMYFUNCTION("IMPORTRANGE(""https://docs.google.com/spreadsheets/d/1IYY_tgx_IHuhSq3AJ5eI5OnqOPBNLWSHKh2a30DoXe8/edit?usp=sharing"",""ยะลา!M480"")"),0)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IFERROR(__xludf.DUMMYFUNCTION("IMPORTRANGE(""https://docs.google.com/spreadsheets/d/1IYY_tgx_IHuhSq3AJ5eI5OnqOPBNLWSHKh2a30DoXe8/edit?usp=sharing"",""ยะลา!M481"")"),0)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IFERROR(__xludf.DUMMYFUNCTION("IMPORTRANGE(""https://docs.google.com/spreadsheets/d/1IYY_tgx_IHuhSq3AJ5eI5OnqOPBNLWSHKh2a30DoXe8/edit?usp=sharing"",""ยะลา!M482"")"),0)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IFERROR(__xludf.DUMMYFUNCTION("IMPORTRANGE(""https://docs.google.com/spreadsheets/d/1IYY_tgx_IHuhSq3AJ5eI5OnqOPBNLWSHKh2a30DoXe8/edit?usp=sharing"",""ยะลา!M483"")"),0)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4">
        <f ca="1">IFERROR(__xludf.DUMMYFUNCTION("IMPORTRANGE(""https://docs.google.com/spreadsheets/d/1IYY_tgx_IHuhSq3AJ5eI5OnqOPBNLWSHKh2a30DoXe8/edit?usp=sharing"",""ยะลา!J484"")"),0)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4">
        <f ca="1">IFERROR(__xludf.DUMMYFUNCTION("IMPORTRANGE(""https://docs.google.com/spreadsheets/d/1IYY_tgx_IHuhSq3AJ5eI5OnqOPBNLWSHKh2a30DoXe8/edit?usp=sharing"",""ยะลา!J485"")"),0)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4">
        <f ca="1">IFERROR(__xludf.DUMMYFUNCTION("IMPORTRANGE(""https://docs.google.com/spreadsheets/d/1IYY_tgx_IHuhSq3AJ5eI5OnqOPBNLWSHKh2a30DoXe8/edit?usp=sharing"",""ยะลา!J486"")"),0)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4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4">
        <f ca="1">IFERROR(__xludf.DUMMYFUNCTION("IMPORTRANGE(""https://docs.google.com/spreadsheets/d/1IYY_tgx_IHuhSq3AJ5eI5OnqOPBNLWSHKh2a30DoXe8/edit?usp=sharing"",""ยะลา!J488"")"),0)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4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4">
        <f ca="1">IFERROR(__xludf.DUMMYFUNCTION("IMPORTRANGE(""https://docs.google.com/spreadsheets/d/1IYY_tgx_IHuhSq3AJ5eI5OnqOPBNLWSHKh2a30DoXe8/edit?usp=sharing"",""ยะลา!J490"")"),0)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IFERROR(__xludf.DUMMYFUNCTION("IMPORTRANGE(""https://docs.google.com/spreadsheets/d/1IYY_tgx_IHuhSq3AJ5eI5OnqOPBNLWSHKh2a30DoXe8/edit?usp=sharing"",""ยะลา!I491"")"),0)</f>
        <v>0</v>
      </c>
      <c r="J596" s="247">
        <f ca="1">IFERROR(__xludf.DUMMYFUNCTION("IMPORTRANGE(""https://docs.google.com/spreadsheets/d/1IYY_tgx_IHuhSq3AJ5eI5OnqOPBNLWSHKh2a30DoXe8/edit?usp=sharing"",""ยะลา!J491"")"),0)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4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IFERROR(__xludf.DUMMYFUNCTION("IMPORTRANGE(""https://docs.google.com/spreadsheets/d/1IYY_tgx_IHuhSq3AJ5eI5OnqOPBNLWSHKh2a30DoXe8/edit?usp=sharing"",""ยะลา!M492"")"),1800)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IFERROR(__xludf.DUMMYFUNCTION("IMPORTRANGE(""https://docs.google.com/spreadsheets/d/1IYY_tgx_IHuhSq3AJ5eI5OnqOPBNLWSHKh2a30DoXe8/edit?usp=sharing"",""ยะลา!L493"")"),0)</f>
        <v>0</v>
      </c>
      <c r="M598" s="168"/>
      <c r="N598" s="175">
        <f ca="1">IFERROR(__xludf.DUMMYFUNCTION("IMPORTRANGE(""https://docs.google.com/spreadsheets/d/1IYY_tgx_IHuhSq3AJ5eI5OnqOPBNLWSHKh2a30DoXe8/edit?usp=sharing"",""ยะลา!M493"")"),0)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IFERROR(__xludf.DUMMYFUNCTION("IMPORTRANGE(""https://docs.google.com/spreadsheets/d/1IYY_tgx_IHuhSq3AJ5eI5OnqOPBNLWSHKh2a30DoXe8/edit?usp=sharing"",""ยะลา!L494"")"),4550)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IFERROR(__xludf.DUMMYFUNCTION("IMPORTRANGE(""https://docs.google.com/spreadsheets/d/1IYY_tgx_IHuhSq3AJ5eI5OnqOPBNLWSHKh2a30DoXe8/edit?usp=sharing"",""ยะลา!M494"")"),1800)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IFERROR(__xludf.DUMMYFUNCTION("IMPORTRANGE(""https://docs.google.com/spreadsheets/d/1IYY_tgx_IHuhSq3AJ5eI5OnqOPBNLWSHKh2a30DoXe8/edit?usp=sharing"",""ยะลา!L495"")"),0)</f>
        <v>0</v>
      </c>
      <c r="M600" s="175"/>
      <c r="N600" s="175">
        <f ca="1">IFERROR(__xludf.DUMMYFUNCTION("IMPORTRANGE(""https://docs.google.com/spreadsheets/d/1IYY_tgx_IHuhSq3AJ5eI5OnqOPBNLWSHKh2a30DoXe8/edit?usp=sharing"",""ยะลา!M495"")"),0)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IFERROR(__xludf.DUMMYFUNCTION("IMPORTRANGE(""https://docs.google.com/spreadsheets/d/1IYY_tgx_IHuhSq3AJ5eI5OnqOPBNLWSHKh2a30DoXe8/edit?usp=sharing"",""ยะลา!L496"")"),4550)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IFERROR(__xludf.DUMMYFUNCTION("IMPORTRANGE(""https://docs.google.com/spreadsheets/d/1IYY_tgx_IHuhSq3AJ5eI5OnqOPBNLWSHKh2a30DoXe8/edit?usp=sharing"",""ยะลา!M496"")"),1800)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IFERROR(__xludf.DUMMYFUNCTION("IMPORTRANGE(""https://docs.google.com/spreadsheets/d/1IYY_tgx_IHuhSq3AJ5eI5OnqOPBNLWSHKh2a30DoXe8/edit?usp=sharing"",""ยะลา!M497"")"),0)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IFERROR(__xludf.DUMMYFUNCTION("IMPORTRANGE(""https://docs.google.com/spreadsheets/d/1IYY_tgx_IHuhSq3AJ5eI5OnqOPBNLWSHKh2a30DoXe8/edit?usp=sharing"",""ยะลา!M498"")"),0)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IFERROR(__xludf.DUMMYFUNCTION("IMPORTRANGE(""https://docs.google.com/spreadsheets/d/1IYY_tgx_IHuhSq3AJ5eI5OnqOPBNLWSHKh2a30DoXe8/edit?usp=sharing"",""ยะลา!M500"")"),1800)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IFERROR(__xludf.DUMMYFUNCTION("IMPORTRANGE(""https://docs.google.com/spreadsheets/d/1IYY_tgx_IHuhSq3AJ5eI5OnqOPBNLWSHKh2a30DoXe8/edit?usp=sharing"",""ยะลา!J502"")"),0)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IFERROR(__xludf.DUMMYFUNCTION("IMPORTRANGE(""https://docs.google.com/spreadsheets/d/1IYY_tgx_IHuhSq3AJ5eI5OnqOPBNLWSHKh2a30DoXe8/edit?usp=sharing"",""ยะลา!J503"")"),1)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IFERROR(__xludf.DUMMYFUNCTION("IMPORTRANGE(""https://docs.google.com/spreadsheets/d/1IYY_tgx_IHuhSq3AJ5eI5OnqOPBNLWSHKh2a30DoXe8/edit?usp=sharing"",""ยะลา!J166"")"),0)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IFERROR(__xludf.DUMMYFUNCTION("IMPORTRANGE(""https://docs.google.com/spreadsheets/d/1IYY_tgx_IHuhSq3AJ5eI5OnqOPBNLWSHKh2a30DoXe8/edit?usp=sharing"",""ยะลา!J166"")"),0)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IFERROR(__xludf.DUMMYFUNCTION("IMPORTRANGE(""https://docs.google.com/spreadsheets/d/1IYY_tgx_IHuhSq3AJ5eI5OnqOPBNLWSHKh2a30DoXe8/edit?usp=sharing"",""ยะลา!I506"")"),50)</f>
        <v>50</v>
      </c>
      <c r="J611" s="166">
        <f ca="1">IFERROR(__xludf.DUMMYFUNCTION("IMPORTRANGE(""https://docs.google.com/spreadsheets/d/1IYY_tgx_IHuhSq3AJ5eI5OnqOPBNLWSHKh2a30DoXe8/edit?usp=sharing"",""ยะลา!J506"")"),0)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IFERROR(__xludf.DUMMYFUNCTION("IMPORTRANGE(""https://docs.google.com/spreadsheets/d/1IYY_tgx_IHuhSq3AJ5eI5OnqOPBNLWSHKh2a30DoXe8/edit?usp=sharing"",""ยะลา!I507"")"),0)</f>
        <v>0</v>
      </c>
      <c r="J612" s="204">
        <f ca="1">IFERROR(__xludf.DUMMYFUNCTION("IMPORTRANGE(""https://docs.google.com/spreadsheets/d/1IYY_tgx_IHuhSq3AJ5eI5OnqOPBNLWSHKh2a30DoXe8/edit?usp=sharing"",""ยะลา!J507"")"),29)</f>
        <v>29</v>
      </c>
      <c r="K612" s="167">
        <f t="shared" ca="1" si="127"/>
        <v>58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IFERROR(__xludf.DUMMYFUNCTION("IMPORTRANGE(""https://docs.google.com/spreadsheets/d/1IYY_tgx_IHuhSq3AJ5eI5OnqOPBNLWSHKh2a30DoXe8/edit?usp=sharing"",""ยะลา!I508"")"),0)</f>
        <v>0</v>
      </c>
      <c r="J613" s="204">
        <f ca="1">IFERROR(__xludf.DUMMYFUNCTION("IMPORTRANGE(""https://docs.google.com/spreadsheets/d/1IYY_tgx_IHuhSq3AJ5eI5OnqOPBNLWSHKh2a30DoXe8/edit?usp=sharing"",""ยะลา!J508"")"),29)</f>
        <v>29</v>
      </c>
      <c r="K613" s="167">
        <f t="shared" ca="1" si="127"/>
        <v>58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IFERROR(__xludf.DUMMYFUNCTION("IMPORTRANGE(""https://docs.google.com/spreadsheets/d/1IYY_tgx_IHuhSq3AJ5eI5OnqOPBNLWSHKh2a30DoXe8/edit?usp=sharing"",""ยะลา!I509"")"),0)</f>
        <v>0</v>
      </c>
      <c r="J614" s="204">
        <f ca="1">IFERROR(__xludf.DUMMYFUNCTION("IMPORTRANGE(""https://docs.google.com/spreadsheets/d/1IYY_tgx_IHuhSq3AJ5eI5OnqOPBNLWSHKh2a30DoXe8/edit?usp=sharing"",""ยะลา!J509"")"),0)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IFERROR(__xludf.DUMMYFUNCTION("IMPORTRANGE(""https://docs.google.com/spreadsheets/d/1IYY_tgx_IHuhSq3AJ5eI5OnqOPBNLWSHKh2a30DoXe8/edit?usp=sharing"",""ยะลา!I510"")"),0)</f>
        <v>0</v>
      </c>
      <c r="J615" s="204">
        <f ca="1">IFERROR(__xludf.DUMMYFUNCTION("IMPORTRANGE(""https://docs.google.com/spreadsheets/d/1IYY_tgx_IHuhSq3AJ5eI5OnqOPBNLWSHKh2a30DoXe8/edit?usp=sharing"",""ยะลา!J510"")"),0)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IFERROR(__xludf.DUMMYFUNCTION("IMPORTRANGE(""https://docs.google.com/spreadsheets/d/1IYY_tgx_IHuhSq3AJ5eI5OnqOPBNLWSHKh2a30DoXe8/edit?usp=sharing"",""ยะลา!I511"")"),0)</f>
        <v>0</v>
      </c>
      <c r="J616" s="204">
        <f ca="1">IFERROR(__xludf.DUMMYFUNCTION("IMPORTRANGE(""https://docs.google.com/spreadsheets/d/1IYY_tgx_IHuhSq3AJ5eI5OnqOPBNLWSHKh2a30DoXe8/edit?usp=sharing"",""ยะลา!J511"")"),0)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IFERROR(__xludf.DUMMYFUNCTION("IMPORTRANGE(""https://docs.google.com/spreadsheets/d/1IYY_tgx_IHuhSq3AJ5eI5OnqOPBNLWSHKh2a30DoXe8/edit?usp=sharing"",""ยะลา!I512"")"),0)</f>
        <v>0</v>
      </c>
      <c r="J617" s="194">
        <f ca="1">IFERROR(__xludf.DUMMYFUNCTION("IMPORTRANGE(""https://docs.google.com/spreadsheets/d/1IYY_tgx_IHuhSq3AJ5eI5OnqOPBNLWSHKh2a30DoXe8/edit?usp=sharing"",""ยะลา!J512"")"),0)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IFERROR(__xludf.DUMMYFUNCTION("IMPORTRANGE(""https://docs.google.com/spreadsheets/d/1IYY_tgx_IHuhSq3AJ5eI5OnqOPBNLWSHKh2a30DoXe8/edit?usp=sharing"",""ยะลา!I513"")"),0)</f>
        <v>0</v>
      </c>
      <c r="J618" s="195">
        <f ca="1">IFERROR(__xludf.DUMMYFUNCTION("IMPORTRANGE(""https://docs.google.com/spreadsheets/d/1IYY_tgx_IHuhSq3AJ5eI5OnqOPBNLWSHKh2a30DoXe8/edit?usp=sharing"",""ยะลา!J513"")"),0)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IFERROR(__xludf.DUMMYFUNCTION("IMPORTRANGE(""https://docs.google.com/spreadsheets/d/1IYY_tgx_IHuhSq3AJ5eI5OnqOPBNLWSHKh2a30DoXe8/edit?usp=sharing"",""ยะลา!I514"")"),0)</f>
        <v>0</v>
      </c>
      <c r="J619" s="195">
        <f ca="1">IFERROR(__xludf.DUMMYFUNCTION("IMPORTRANGE(""https://docs.google.com/spreadsheets/d/1IYY_tgx_IHuhSq3AJ5eI5OnqOPBNLWSHKh2a30DoXe8/edit?usp=sharing"",""ยะลา!J514"")"),0)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IFERROR(__xludf.DUMMYFUNCTION("IMPORTRANGE(""https://docs.google.com/spreadsheets/d/1IYY_tgx_IHuhSq3AJ5eI5OnqOPBNLWSHKh2a30DoXe8/edit?usp=sharing"",""ยะลา!I515"")"),0)</f>
        <v>0</v>
      </c>
      <c r="J620" s="209">
        <f ca="1">IFERROR(__xludf.DUMMYFUNCTION("IMPORTRANGE(""https://docs.google.com/spreadsheets/d/1IYY_tgx_IHuhSq3AJ5eI5OnqOPBNLWSHKh2a30DoXe8/edit?usp=sharing"",""ยะลา!J515"")"),0)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IFERROR(__xludf.DUMMYFUNCTION("IMPORTRANGE(""https://docs.google.com/spreadsheets/d/1IYY_tgx_IHuhSq3AJ5eI5OnqOPBNLWSHKh2a30DoXe8/edit?usp=sharing"",""ยะลา!I516"")"),0)</f>
        <v>0</v>
      </c>
      <c r="J621" s="209">
        <f ca="1">IFERROR(__xludf.DUMMYFUNCTION("IMPORTRANGE(""https://docs.google.com/spreadsheets/d/1IYY_tgx_IHuhSq3AJ5eI5OnqOPBNLWSHKh2a30DoXe8/edit?usp=sharing"",""ยะลา!J516"")"),0)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IFERROR(__xludf.DUMMYFUNCTION("IMPORTRANGE(""https://docs.google.com/spreadsheets/d/1IYY_tgx_IHuhSq3AJ5eI5OnqOPBNLWSHKh2a30DoXe8/edit?usp=sharing"",""ยะลา!I517"")"),0)</f>
        <v>0</v>
      </c>
      <c r="J622" s="195">
        <f ca="1">IFERROR(__xludf.DUMMYFUNCTION("IMPORTRANGE(""https://docs.google.com/spreadsheets/d/1IYY_tgx_IHuhSq3AJ5eI5OnqOPBNLWSHKh2a30DoXe8/edit?usp=sharing"",""ยะลา!J517"")"),0)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IFERROR(__xludf.DUMMYFUNCTION("IMPORTRANGE(""https://docs.google.com/spreadsheets/d/1IYY_tgx_IHuhSq3AJ5eI5OnqOPBNLWSHKh2a30DoXe8/edit?usp=sharing"",""ยะลา!I518"")"),0)</f>
        <v>0</v>
      </c>
      <c r="J623" s="195">
        <f ca="1">IFERROR(__xludf.DUMMYFUNCTION("IMPORTRANGE(""https://docs.google.com/spreadsheets/d/1IYY_tgx_IHuhSq3AJ5eI5OnqOPBNLWSHKh2a30DoXe8/edit?usp=sharing"",""ยะลา!J518"")"),0)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IFERROR(__xludf.DUMMYFUNCTION("IMPORTRANGE(""https://docs.google.com/spreadsheets/d/1IYY_tgx_IHuhSq3AJ5eI5OnqOPBNLWSHKh2a30DoXe8/edit?usp=sharing"",""ยะลา!I519"")"),0)</f>
        <v>0</v>
      </c>
      <c r="J624" s="194">
        <f ca="1">IFERROR(__xludf.DUMMYFUNCTION("IMPORTRANGE(""https://docs.google.com/spreadsheets/d/1IYY_tgx_IHuhSq3AJ5eI5OnqOPBNLWSHKh2a30DoXe8/edit?usp=sharing"",""ยะลา!J519"")"),0)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IFERROR(__xludf.DUMMYFUNCTION("IMPORTRANGE(""https://docs.google.com/spreadsheets/d/1IYY_tgx_IHuhSq3AJ5eI5OnqOPBNLWSHKh2a30DoXe8/edit?usp=sharing"",""ยะลา!I520"")"),0)</f>
        <v>0</v>
      </c>
      <c r="J625" s="195">
        <f ca="1">IFERROR(__xludf.DUMMYFUNCTION("IMPORTRANGE(""https://docs.google.com/spreadsheets/d/1IYY_tgx_IHuhSq3AJ5eI5OnqOPBNLWSHKh2a30DoXe8/edit?usp=sharing"",""ยะลา!J520"")"),0)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IFERROR(__xludf.DUMMYFUNCTION("IMPORTRANGE(""https://docs.google.com/spreadsheets/d/1IYY_tgx_IHuhSq3AJ5eI5OnqOPBNLWSHKh2a30DoXe8/edit?usp=sharing"",""ยะลา!I521"")"),0)</f>
        <v>0</v>
      </c>
      <c r="J626" s="195">
        <f ca="1">IFERROR(__xludf.DUMMYFUNCTION("IMPORTRANGE(""https://docs.google.com/spreadsheets/d/1IYY_tgx_IHuhSq3AJ5eI5OnqOPBNLWSHKh2a30DoXe8/edit?usp=sharing"",""ยะลา!J521"")"),0)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IFERROR(__xludf.DUMMYFUNCTION("IMPORTRANGE(""https://docs.google.com/spreadsheets/d/1IYY_tgx_IHuhSq3AJ5eI5OnqOPBNLWSHKh2a30DoXe8/edit?usp=sharing"",""ยะลา!J523"")"),365171.72)</f>
        <v>365171.72</v>
      </c>
      <c r="K628" s="348">
        <f t="shared" ref="K628:K635" ca="1" si="129">IF(I628&gt;0,J628*100/I628,0)</f>
        <v>61.002827162098761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IFERROR(__xludf.DUMMYFUNCTION("IMPORTRANGE(""https://docs.google.com/spreadsheets/d/1IYY_tgx_IHuhSq3AJ5eI5OnqOPBNLWSHKh2a30DoXe8/edit?usp=sharing"",""ยะลา!J524"")"),35)</f>
        <v>35</v>
      </c>
      <c r="K629" s="348">
        <f t="shared" ca="1" si="129"/>
        <v>67.307692307692307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IFERROR(__xludf.DUMMYFUNCTION("IMPORTRANGE(""https://docs.google.com/spreadsheets/d/1IYY_tgx_IHuhSq3AJ5eI5OnqOPBNLWSHKh2a30DoXe8/edit?usp=sharing"",""ยะลา!J525"")"),58712.1)</f>
        <v>58712.1</v>
      </c>
      <c r="K630" s="348">
        <f t="shared" ca="1" si="129"/>
        <v>332.57674028673875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IFERROR(__xludf.DUMMYFUNCTION("IMPORTRANGE(""https://docs.google.com/spreadsheets/d/1IYY_tgx_IHuhSq3AJ5eI5OnqOPBNLWSHKh2a30DoXe8/edit?usp=sharing"",""ยะลา!J526"")"),6)</f>
        <v>6</v>
      </c>
      <c r="K631" s="348">
        <f t="shared" ca="1" si="129"/>
        <v>600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IFERROR(__xludf.DUMMYFUNCTION("IMPORTRANGE(""https://docs.google.com/spreadsheets/d/1IYY_tgx_IHuhSq3AJ5eI5OnqOPBNLWSHKh2a30DoXe8/edit?usp=sharing"",""ยะลา!J527"")"),28363.43)</f>
        <v>28363.43</v>
      </c>
      <c r="K632" s="348">
        <f t="shared" ca="1" si="129"/>
        <v>54.187969394759577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IFERROR(__xludf.DUMMYFUNCTION("IMPORTRANGE(""https://docs.google.com/spreadsheets/d/1IYY_tgx_IHuhSq3AJ5eI5OnqOPBNLWSHKh2a30DoXe8/edit?usp=sharing"",""ยะลา!J528"")"),66)</f>
        <v>66</v>
      </c>
      <c r="K633" s="348">
        <f t="shared" ca="1" si="129"/>
        <v>44.29530201342282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IFERROR(__xludf.DUMMYFUNCTION("IMPORTRANGE(""https://docs.google.com/spreadsheets/d/1IYY_tgx_IHuhSq3AJ5eI5OnqOPBNLWSHKh2a30DoXe8/edit?usp=sharing"",""ยะลา!I529"")"),510000)</f>
        <v>510000</v>
      </c>
      <c r="J634" s="347">
        <f ca="1">IFERROR(__xludf.DUMMYFUNCTION("IMPORTRANGE(""https://docs.google.com/spreadsheets/d/1IYY_tgx_IHuhSq3AJ5eI5OnqOPBNLWSHKh2a30DoXe8/edit?usp=sharing"",""ยะลา!J529"")"),510000)</f>
        <v>510000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IFERROR(__xludf.DUMMYFUNCTION("IMPORTRANGE(""https://docs.google.com/spreadsheets/d/1IYY_tgx_IHuhSq3AJ5eI5OnqOPBNLWSHKh2a30DoXe8/edit?usp=sharing"",""ยะลา!I530"")"),17)</f>
        <v>17</v>
      </c>
      <c r="J635" s="518">
        <f ca="1">IFERROR(__xludf.DUMMYFUNCTION("IMPORTRANGE(""https://docs.google.com/spreadsheets/d/1IYY_tgx_IHuhSq3AJ5eI5OnqOPBNLWSHKh2a30DoXe8/edit?usp=sharing"",""ยะลา!J530"")"),17)</f>
        <v>17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IFERROR(__xludf.DUMMYFUNCTION("IMPORTRANGE(""https://docs.google.com/spreadsheets/d/1IYY_tgx_IHuhSq3AJ5eI5OnqOPBNLWSHKh2a30DoXe8/edit?usp=sharing"",""ยะลา!J541"")"),0)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IFERROR(__xludf.DUMMYFUNCTION("IMPORTRANGE(""https://docs.google.com/spreadsheets/d/1IYY_tgx_IHuhSq3AJ5eI5OnqOPBNLWSHKh2a30DoXe8/edit?usp=sharing"",""ยะลา!J542"")"),0)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IFERROR(__xludf.DUMMYFUNCTION("IMPORTRANGE(""https://docs.google.com/spreadsheets/d/1IYY_tgx_IHuhSq3AJ5eI5OnqOPBNLWSHKh2a30DoXe8/edit?usp=sharing"",""ยะลา!I543"")"),0)</f>
        <v>0</v>
      </c>
      <c r="J648" s="547">
        <f ca="1">IFERROR(__xludf.DUMMYFUNCTION("IMPORTRANGE(""https://docs.google.com/spreadsheets/d/1IYY_tgx_IHuhSq3AJ5eI5OnqOPBNLWSHKh2a30DoXe8/edit?usp=sharing"",""ยะลา!J543"")"),0)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IFERROR(__xludf.DUMMYFUNCTION("IMPORTRANGE(""https://docs.google.com/spreadsheets/d/1IYY_tgx_IHuhSq3AJ5eI5OnqOPBNLWSHKh2a30DoXe8/edit?usp=sharing"",""ยะลา!L543"")"),0)</f>
        <v>0</v>
      </c>
      <c r="M648" s="534"/>
      <c r="N648" s="549">
        <f ca="1">IFERROR(__xludf.DUMMYFUNCTION("IMPORTRANGE(""https://docs.google.com/spreadsheets/d/1IYY_tgx_IHuhSq3AJ5eI5OnqOPBNLWSHKh2a30DoXe8/edit?usp=sharing"",""ยะลา!M543"")"),0)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IFERROR(__xludf.DUMMYFUNCTION("IMPORTRANGE(""https://docs.google.com/spreadsheets/d/1IYY_tgx_IHuhSq3AJ5eI5OnqOPBNLWSHKh2a30DoXe8/edit?usp=sharing"",""ยะลา!I544"")"),0)</f>
        <v>0</v>
      </c>
      <c r="J649" s="547">
        <f ca="1">IFERROR(__xludf.DUMMYFUNCTION("IMPORTRANGE(""https://docs.google.com/spreadsheets/d/1IYY_tgx_IHuhSq3AJ5eI5OnqOPBNLWSHKh2a30DoXe8/edit?usp=sharing"",""ยะลา!J544"")"),0)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IFERROR(__xludf.DUMMYFUNCTION("IMPORTRANGE(""https://docs.google.com/spreadsheets/d/1IYY_tgx_IHuhSq3AJ5eI5OnqOPBNLWSHKh2a30DoXe8/edit?usp=sharing"",""ยะลา!L544"")"),0)</f>
        <v>0</v>
      </c>
      <c r="M649" s="534"/>
      <c r="N649" s="549">
        <f ca="1">IFERROR(__xludf.DUMMYFUNCTION("IMPORTRANGE(""https://docs.google.com/spreadsheets/d/1IYY_tgx_IHuhSq3AJ5eI5OnqOPBNLWSHKh2a30DoXe8/edit?usp=sharing"",""ยะลา!M544"")"),0)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IFERROR(__xludf.DUMMYFUNCTION("IMPORTRANGE(""https://docs.google.com/spreadsheets/d/1IYY_tgx_IHuhSq3AJ5eI5OnqOPBNLWSHKh2a30DoXe8/edit?usp=sharing"",""ยะลา!I545"")"),0)</f>
        <v>0</v>
      </c>
      <c r="J650" s="547">
        <f ca="1">IFERROR(__xludf.DUMMYFUNCTION("IMPORTRANGE(""https://docs.google.com/spreadsheets/d/1IYY_tgx_IHuhSq3AJ5eI5OnqOPBNLWSHKh2a30DoXe8/edit?usp=sharing"",""ยะลา!J545"")"),0)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IFERROR(__xludf.DUMMYFUNCTION("IMPORTRANGE(""https://docs.google.com/spreadsheets/d/1IYY_tgx_IHuhSq3AJ5eI5OnqOPBNLWSHKh2a30DoXe8/edit?usp=sharing"",""ยะลา!L545"")"),0)</f>
        <v>0</v>
      </c>
      <c r="M650" s="534"/>
      <c r="N650" s="549">
        <f ca="1">IFERROR(__xludf.DUMMYFUNCTION("IMPORTRANGE(""https://docs.google.com/spreadsheets/d/1IYY_tgx_IHuhSq3AJ5eI5OnqOPBNLWSHKh2a30DoXe8/edit?usp=sharing"",""ยะลา!M545"")"),0)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IFERROR(__xludf.DUMMYFUNCTION("IMPORTRANGE(""https://docs.google.com/spreadsheets/d/1IYY_tgx_IHuhSq3AJ5eI5OnqOPBNLWSHKh2a30DoXe8/edit?usp=sharing"",""ยะลา!I546"")"),0)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IFERROR(__xludf.DUMMYFUNCTION("IMPORTRANGE(""https://docs.google.com/spreadsheets/d/1IYY_tgx_IHuhSq3AJ5eI5OnqOPBNLWSHKh2a30DoXe8/edit?usp=sharing"",""ยะลา!L546"")"),0)</f>
        <v>0</v>
      </c>
      <c r="M651" s="534"/>
      <c r="N651" s="549">
        <f ca="1">IFERROR(__xludf.DUMMYFUNCTION("IMPORTRANGE(""https://docs.google.com/spreadsheets/d/1IYY_tgx_IHuhSq3AJ5eI5OnqOPBNLWSHKh2a30DoXe8/edit?usp=sharing"",""ยะลา!M546"")"),0)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IFERROR(__xludf.DUMMYFUNCTION("IMPORTRANGE(""https://docs.google.com/spreadsheets/d/1IYY_tgx_IHuhSq3AJ5eI5OnqOPBNLWSHKh2a30DoXe8/edit?usp=sharing"",""ยะลา!J547"")"),0)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IFERROR(__xludf.DUMMYFUNCTION("IMPORTRANGE(""https://docs.google.com/spreadsheets/d/1IYY_tgx_IHuhSq3AJ5eI5OnqOPBNLWSHKh2a30DoXe8/edit?usp=sharing"",""ยะลา!J548"")"),0)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IFERROR(__xludf.DUMMYFUNCTION("IMPORTRANGE(""https://docs.google.com/spreadsheets/d/1IYY_tgx_IHuhSq3AJ5eI5OnqOPBNLWSHKh2a30DoXe8/edit?usp=sharing"",""ยะลา!J550"")"),0)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IFERROR(__xludf.DUMMYFUNCTION("IMPORTRANGE(""https://docs.google.com/spreadsheets/d/1IYY_tgx_IHuhSq3AJ5eI5OnqOPBNLWSHKh2a30DoXe8/edit?usp=sharing"",""ยะลา!J551"")"),0)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IFERROR(__xludf.DUMMYFUNCTION("IMPORTRANGE(""https://docs.google.com/spreadsheets/d/1IYY_tgx_IHuhSq3AJ5eI5OnqOPBNLWSHKh2a30DoXe8/edit?usp=sharing"",""ยะลา!J552"")"),0)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IFERROR(__xludf.DUMMYFUNCTION("IMPORTRANGE(""https://docs.google.com/spreadsheets/d/1IYY_tgx_IHuhSq3AJ5eI5OnqOPBNLWSHKh2a30DoXe8/edit?usp=sharing"",""ยะลา!J553"")"),0)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IFERROR(__xludf.DUMMYFUNCTION("IMPORTRANGE(""https://docs.google.com/spreadsheets/d/1IYY_tgx_IHuhSq3AJ5eI5OnqOPBNLWSHKh2a30DoXe8/edit?usp=sharing"",""ยะลา!J554"")"),0)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IFERROR(__xludf.DUMMYFUNCTION("IMPORTRANGE(""https://docs.google.com/spreadsheets/d/1IYY_tgx_IHuhSq3AJ5eI5OnqOPBNLWSHKh2a30DoXe8/edit?usp=sharing"",""ยะลา!J555"")"),0)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IFERROR(__xludf.DUMMYFUNCTION("IMPORTRANGE(""https://docs.google.com/spreadsheets/d/1IYY_tgx_IHuhSq3AJ5eI5OnqOPBNLWSHKh2a30DoXe8/edit?usp=sharing"",""ยะลา!J556"")"),0)</f>
        <v>0</v>
      </c>
      <c r="K661" s="548"/>
      <c r="L661" s="535">
        <f ca="1">IFERROR(__xludf.DUMMYFUNCTION("IMPORTRANGE(""https://docs.google.com/spreadsheets/d/1IYY_tgx_IHuhSq3AJ5eI5OnqOPBNLWSHKh2a30DoXe8/edit?usp=sharing"",""ยะลา!L556"")"),0)</f>
        <v>0</v>
      </c>
      <c r="M661" s="534"/>
      <c r="N661" s="549">
        <f ca="1">IFERROR(__xludf.DUMMYFUNCTION("IMPORTRANGE(""https://docs.google.com/spreadsheets/d/1IYY_tgx_IHuhSq3AJ5eI5OnqOPBNLWSHKh2a30DoXe8/edit?usp=sharing"",""ยะลา!M556"")"),0)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IFERROR(__xludf.DUMMYFUNCTION("IMPORTRANGE(""https://docs.google.com/spreadsheets/d/1IYY_tgx_IHuhSq3AJ5eI5OnqOPBNLWSHKh2a30DoXe8/edit?usp=sharing"",""ยะลา!J557"")"),0)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IFERROR(__xludf.DUMMYFUNCTION("IMPORTRANGE(""https://docs.google.com/spreadsheets/d/1IYY_tgx_IHuhSq3AJ5eI5OnqOPBNLWSHKh2a30DoXe8/edit?usp=sharing"",""ยะลา!I558"")"),0)</f>
        <v>0</v>
      </c>
      <c r="J663" s="547">
        <f ca="1">IFERROR(__xludf.DUMMYFUNCTION("IMPORTRANGE(""https://docs.google.com/spreadsheets/d/1IYY_tgx_IHuhSq3AJ5eI5OnqOPBNLWSHKh2a30DoXe8/edit?usp=sharing"",""ยะลา!J558"")"),0)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IFERROR(__xludf.DUMMYFUNCTION("IMPORTRANGE(""https://docs.google.com/spreadsheets/d/1IYY_tgx_IHuhSq3AJ5eI5OnqOPBNLWSHKh2a30DoXe8/edit?usp=sharing"",""ยะลา!I560"")"),0)</f>
        <v>0</v>
      </c>
      <c r="J665" s="547">
        <f ca="1">IFERROR(__xludf.DUMMYFUNCTION("IMPORTRANGE(""https://docs.google.com/spreadsheets/d/1IYY_tgx_IHuhSq3AJ5eI5OnqOPBNLWSHKh2a30DoXe8/edit?usp=sharing"",""ยะลา!J560"")"),0)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IFERROR(__xludf.DUMMYFUNCTION("IMPORTRANGE(""https://docs.google.com/spreadsheets/d/1IYY_tgx_IHuhSq3AJ5eI5OnqOPBNLWSHKh2a30DoXe8/edit?usp=sharing"",""ยะลา!L560"")"),0)</f>
        <v>0</v>
      </c>
      <c r="M665" s="534"/>
      <c r="N665" s="549">
        <f ca="1">IFERROR(__xludf.DUMMYFUNCTION("IMPORTRANGE(""https://docs.google.com/spreadsheets/d/1IYY_tgx_IHuhSq3AJ5eI5OnqOPBNLWSHKh2a30DoXe8/edit?usp=sharing"",""ยะลา!M560"")"),0)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IFERROR(__xludf.DUMMYFUNCTION("IMPORTRANGE(""https://docs.google.com/spreadsheets/d/1IYY_tgx_IHuhSq3AJ5eI5OnqOPBNLWSHKh2a30DoXe8/edit?usp=sharing"",""ยะลา!J561"")"),0)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IFERROR(__xludf.DUMMYFUNCTION("IMPORTRANGE(""https://docs.google.com/spreadsheets/d/1IYY_tgx_IHuhSq3AJ5eI5OnqOPBNLWSHKh2a30DoXe8/edit?usp=sharing"",""ยะลา!J562"")"),0)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IFERROR(__xludf.DUMMYFUNCTION("IMPORTRANGE(""https://docs.google.com/spreadsheets/d/1IYY_tgx_IHuhSq3AJ5eI5OnqOPBNLWSHKh2a30DoXe8/edit?usp=sharing"",""ยะลา!I563"")"),0)</f>
        <v>0</v>
      </c>
      <c r="J668" s="547">
        <f ca="1">IFERROR(__xludf.DUMMYFUNCTION("IMPORTRANGE(""https://docs.google.com/spreadsheets/d/1IYY_tgx_IHuhSq3AJ5eI5OnqOPBNLWSHKh2a30DoXe8/edit?usp=sharing"",""ยะลา!J563"")"),0)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IFERROR(__xludf.DUMMYFUNCTION("IMPORTRANGE(""https://docs.google.com/spreadsheets/d/1IYY_tgx_IHuhSq3AJ5eI5OnqOPBNLWSHKh2a30DoXe8/edit?usp=sharing"",""ยะลา!L563"")"),0)</f>
        <v>0</v>
      </c>
      <c r="M668" s="534"/>
      <c r="N668" s="549">
        <f ca="1">IFERROR(__xludf.DUMMYFUNCTION("IMPORTRANGE(""https://docs.google.com/spreadsheets/d/1IYY_tgx_IHuhSq3AJ5eI5OnqOPBNLWSHKh2a30DoXe8/edit?usp=sharing"",""ยะลา!M563"")"),0)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IFERROR(__xludf.DUMMYFUNCTION("IMPORTRANGE(""https://docs.google.com/spreadsheets/d/1IYY_tgx_IHuhSq3AJ5eI5OnqOPBNLWSHKh2a30DoXe8/edit?usp=sharing"",""ยะลา!J564"")"),0)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IFERROR(__xludf.DUMMYFUNCTION("IMPORTRANGE(""https://docs.google.com/spreadsheets/d/1IYY_tgx_IHuhSq3AJ5eI5OnqOPBNLWSHKh2a30DoXe8/edit?usp=sharing"",""ยะลา!J565"")"),0)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IFERROR(__xludf.DUMMYFUNCTION("IMPORTRANGE(""https://docs.google.com/spreadsheets/d/1IYY_tgx_IHuhSq3AJ5eI5OnqOPBNLWSHKh2a30DoXe8/edit?usp=sharing"",""ยะลา!I566"")"),0)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IFERROR(__xludf.DUMMYFUNCTION("IMPORTRANGE(""https://docs.google.com/spreadsheets/d/1IYY_tgx_IHuhSq3AJ5eI5OnqOPBNLWSHKh2a30DoXe8/edit?usp=sharing"",""ยะลา!L566"")"),0)</f>
        <v>0</v>
      </c>
      <c r="M671" s="534"/>
      <c r="N671" s="549">
        <f ca="1">IFERROR(__xludf.DUMMYFUNCTION("IMPORTRANGE(""https://docs.google.com/spreadsheets/d/1IYY_tgx_IHuhSq3AJ5eI5OnqOPBNLWSHKh2a30DoXe8/edit?usp=sharing"",""ยะลา!M566"")"),0)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IFERROR(__xludf.DUMMYFUNCTION("IMPORTRANGE(""https://docs.google.com/spreadsheets/d/1IYY_tgx_IHuhSq3AJ5eI5OnqOPBNLWSHKh2a30DoXe8/edit?usp=sharing"",""ยะลา!J567"")"),0)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IFERROR(__xludf.DUMMYFUNCTION("IMPORTRANGE(""https://docs.google.com/spreadsheets/d/1IYY_tgx_IHuhSq3AJ5eI5OnqOPBNLWSHKh2a30DoXe8/edit?usp=sharing"",""ยะลา!J568"")"),0)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IFERROR(__xludf.DUMMYFUNCTION("IMPORTRANGE(""https://docs.google.com/spreadsheets/d/1IYY_tgx_IHuhSq3AJ5eI5OnqOPBNLWSHKh2a30DoXe8/edit?usp=sharing"",""ยะลา!J569"")"),0)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IFERROR(__xludf.DUMMYFUNCTION("IMPORTRANGE(""https://docs.google.com/spreadsheets/d/1IYY_tgx_IHuhSq3AJ5eI5OnqOPBNLWSHKh2a30DoXe8/edit?usp=sharing"",""ยะลา!J570"")"),0)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IFERROR(__xludf.DUMMYFUNCTION("IMPORTRANGE(""https://docs.google.com/spreadsheets/d/1IYY_tgx_IHuhSq3AJ5eI5OnqOPBNLWSHKh2a30DoXe8/edit?usp=sharing"",""ยะลา!J571"")"),0)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IFERROR(__xludf.DUMMYFUNCTION("IMPORTRANGE(""https://docs.google.com/spreadsheets/d/1IYY_tgx_IHuhSq3AJ5eI5OnqOPBNLWSHKh2a30DoXe8/edit?usp=sharing"",""ยะลา!J572"")"),0)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282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4285872</v>
      </c>
      <c r="M8" s="23">
        <f t="shared" ca="1" si="0"/>
        <v>2794293</v>
      </c>
      <c r="N8" s="23">
        <f t="shared" ca="1" si="0"/>
        <v>3443584.15</v>
      </c>
      <c r="O8" s="22">
        <f t="shared" ref="O8:O16" ca="1" si="1">IF(L8&gt;0,N8*100/L8,0)</f>
        <v>80.347340051219447</v>
      </c>
      <c r="P8" s="22">
        <f t="shared" ref="P8:P16" ca="1" si="2">IF(M8&gt;0,N8*100/M8,0)</f>
        <v>123.23633026314707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4285872</v>
      </c>
      <c r="M10" s="30">
        <f t="shared" ca="1" si="4"/>
        <v>2794293</v>
      </c>
      <c r="N10" s="30">
        <f t="shared" ca="1" si="4"/>
        <v>3443584.15</v>
      </c>
      <c r="O10" s="29">
        <f t="shared" ca="1" si="1"/>
        <v>80.347340051219447</v>
      </c>
      <c r="P10" s="29">
        <f t="shared" ca="1" si="2"/>
        <v>123.23633026314707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3570472</v>
      </c>
      <c r="M12" s="38">
        <f t="shared" ca="1" si="6"/>
        <v>2078893</v>
      </c>
      <c r="N12" s="38">
        <f t="shared" ca="1" si="6"/>
        <v>2730184.15</v>
      </c>
      <c r="O12" s="38">
        <f t="shared" ca="1" si="1"/>
        <v>76.465636756148768</v>
      </c>
      <c r="P12" s="38">
        <f t="shared" ca="1" si="2"/>
        <v>131.32874804042345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1565000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2005472</v>
      </c>
      <c r="M14" s="38">
        <f t="shared" si="8"/>
        <v>0</v>
      </c>
      <c r="N14" s="38">
        <f t="shared" ca="1" si="8"/>
        <v>979224</v>
      </c>
      <c r="O14" s="41">
        <f t="shared" ca="1" si="1"/>
        <v>48.827607665427394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715400</v>
      </c>
      <c r="M16" s="38">
        <f t="shared" ca="1" si="10"/>
        <v>715400</v>
      </c>
      <c r="N16" s="38">
        <f t="shared" ca="1" si="10"/>
        <v>713400</v>
      </c>
      <c r="O16" s="50">
        <f t="shared" ca="1" si="1"/>
        <v>99.720436119653343</v>
      </c>
      <c r="P16" s="50">
        <f t="shared" ca="1" si="2"/>
        <v>99.720436119653343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2717745</v>
      </c>
      <c r="M18" s="23">
        <f t="shared" ca="1" si="11"/>
        <v>2794293</v>
      </c>
      <c r="N18" s="23">
        <f t="shared" ca="1" si="11"/>
        <v>2464360.15</v>
      </c>
      <c r="O18" s="22">
        <f t="shared" ref="O18:O20" ca="1" si="12">IF(L18&gt;0,N18*100/L18,0)</f>
        <v>90.67665104709971</v>
      </c>
      <c r="P18" s="22">
        <f t="shared" ref="P18:P26" ca="1" si="13">IF(M18&gt;0,N18*100/M18,0)</f>
        <v>88.192617953807996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2717745</v>
      </c>
      <c r="M20" s="30">
        <f t="shared" ca="1" si="15"/>
        <v>2794293</v>
      </c>
      <c r="N20" s="30">
        <f t="shared" ca="1" si="15"/>
        <v>2464360.15</v>
      </c>
      <c r="O20" s="29">
        <f t="shared" ca="1" si="12"/>
        <v>90.67665104709971</v>
      </c>
      <c r="P20" s="29">
        <f t="shared" ca="1" si="13"/>
        <v>88.192617953807996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2002345</v>
      </c>
      <c r="M22" s="42">
        <f t="shared" ca="1" si="18"/>
        <v>2078893</v>
      </c>
      <c r="N22" s="41">
        <f t="shared" ca="1" si="18"/>
        <v>1750960.15</v>
      </c>
      <c r="O22" s="41">
        <f t="shared" ca="1" si="17"/>
        <v>87.445477677423227</v>
      </c>
      <c r="P22" s="41">
        <f t="shared" ca="1" si="13"/>
        <v>84.225602279674803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1565000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437345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715400</v>
      </c>
      <c r="M26" s="50">
        <f t="shared" ca="1" si="22"/>
        <v>715400</v>
      </c>
      <c r="N26" s="50">
        <f t="shared" ca="1" si="22"/>
        <v>713400</v>
      </c>
      <c r="O26" s="50">
        <f t="shared" ca="1" si="17"/>
        <v>99.720436119653343</v>
      </c>
      <c r="P26" s="50">
        <f t="shared" ca="1" si="13"/>
        <v>99.720436119653343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1568127</v>
      </c>
      <c r="M28" s="23">
        <f t="shared" si="23"/>
        <v>0</v>
      </c>
      <c r="N28" s="23">
        <f t="shared" ca="1" si="23"/>
        <v>979224</v>
      </c>
      <c r="O28" s="22">
        <f t="shared" ref="O28:O30" ca="1" si="24">IF(L28&gt;0,N28*100/L28,0)</f>
        <v>62.445452441033154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1568127</v>
      </c>
      <c r="M30" s="30">
        <f t="shared" si="27"/>
        <v>0</v>
      </c>
      <c r="N30" s="30">
        <f t="shared" ca="1" si="27"/>
        <v>979224</v>
      </c>
      <c r="O30" s="29">
        <f t="shared" ca="1" si="24"/>
        <v>62.445452441033154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1568127</v>
      </c>
      <c r="M32" s="41">
        <f t="shared" si="30"/>
        <v>0</v>
      </c>
      <c r="N32" s="41">
        <f t="shared" ca="1" si="30"/>
        <v>979224</v>
      </c>
      <c r="O32" s="41">
        <f t="shared" ca="1" si="29"/>
        <v>62.445452441033154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1568127</v>
      </c>
      <c r="M34" s="41">
        <f t="shared" si="32"/>
        <v>0</v>
      </c>
      <c r="N34" s="41">
        <f t="shared" ca="1" si="32"/>
        <v>979224</v>
      </c>
      <c r="O34" s="41">
        <f t="shared" ca="1" si="29"/>
        <v>62.445452441033154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2717745</v>
      </c>
      <c r="M37" s="55">
        <f t="shared" ca="1" si="33"/>
        <v>2794293</v>
      </c>
      <c r="N37" s="55">
        <f t="shared" ca="1" si="33"/>
        <v>2464360.1500000004</v>
      </c>
      <c r="O37" s="56">
        <f t="shared" ca="1" si="29"/>
        <v>90.676651047099725</v>
      </c>
      <c r="P37" s="56">
        <f t="shared" ca="1" si="25"/>
        <v>88.192617953808011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1261000</v>
      </c>
      <c r="M41" s="79">
        <f t="shared" ca="1" si="34"/>
        <v>1261000</v>
      </c>
      <c r="N41" s="79">
        <f t="shared" ca="1" si="34"/>
        <v>1240491.1400000001</v>
      </c>
      <c r="O41" s="78">
        <f t="shared" ref="O41:O43" ca="1" si="35">IF(L41&gt;0,N41*100/L41,0)</f>
        <v>98.373603489294226</v>
      </c>
      <c r="P41" s="78">
        <f t="shared" ref="P41:P43" ca="1" si="36">IF(M41&gt;0,N41*100/M41,0)</f>
        <v>98.373603489294226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1261000</v>
      </c>
      <c r="M43" s="79">
        <f t="shared" ca="1" si="38"/>
        <v>1261000</v>
      </c>
      <c r="N43" s="79">
        <f t="shared" ca="1" si="38"/>
        <v>1240491.1400000001</v>
      </c>
      <c r="O43" s="78">
        <f t="shared" ca="1" si="35"/>
        <v>98.373603489294226</v>
      </c>
      <c r="P43" s="78">
        <f t="shared" ca="1" si="36"/>
        <v>98.373603489294226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638000</v>
      </c>
      <c r="M45" s="91">
        <f ca="1">IFERROR(__xludf.DUMMYFUNCTION("IMPORTRANGE(""https://docs.google.com/spreadsheets/d/1Yj_ptqi66GCucihVvJfMjLAmec39IyEx_6qawtMGysU/edit?usp=sharing"",""สบก!Q91"")"),638000)</f>
        <v>638000</v>
      </c>
      <c r="N45" s="91">
        <f ca="1">IFERROR(__xludf.DUMMYFUNCTION("IMPORTRANGE(""https://docs.google.com/spreadsheets/d/1Yj_ptqi66GCucihVvJfMjLAmec39IyEx_6qawtMGysU/edit?usp=sharing"",""สบก!R91"")"),619491.14)</f>
        <v>619491.14</v>
      </c>
      <c r="O45" s="92">
        <f ca="1">IF(L45&gt;0,N45*100/L45,0)</f>
        <v>97.098924764890285</v>
      </c>
      <c r="P45" s="92">
        <f ca="1">IF(M45&gt;0,N45*100/M45,0)</f>
        <v>97.098924764890285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IFERROR(__xludf.DUMMYFUNCTION("IMPORTRANGE(""https://docs.google.com/spreadsheets/d/1Yj_ptqi66GCucihVvJfMjLAmec39IyEx_6qawtMGysU/edit?usp=sharing"",""สบก!M91"")"),638000)</f>
        <v>638000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IFERROR(__xludf.DUMMYFUNCTION("IMPORTRANGE(""https://docs.google.com/spreadsheets/d/1Yj_ptqi66GCucihVvJfMjLAmec39IyEx_6qawtMGysU/edit?usp=sharing"",""สบก!O91"")"),623000)</f>
        <v>623000</v>
      </c>
      <c r="M49" s="101">
        <f ca="1">L49</f>
        <v>623000</v>
      </c>
      <c r="N49" s="91">
        <f ca="1">IFERROR(__xludf.DUMMYFUNCTION("IMPORTRANGE(""https://docs.google.com/spreadsheets/d/1Yj_ptqi66GCucihVvJfMjLAmec39IyEx_6qawtMGysU/edit?usp=sharing"",""สบก!S91"")"),621000)</f>
        <v>621000</v>
      </c>
      <c r="O49" s="101">
        <f ca="1">IF(L49&gt;0,N49*100/L49,0)</f>
        <v>99.678972712680576</v>
      </c>
      <c r="P49" s="101">
        <f ca="1">IF(M49&gt;0,N49*100/M49,0)</f>
        <v>99.678972712680576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150000</v>
      </c>
      <c r="M53" s="125">
        <f t="shared" ca="1" si="39"/>
        <v>178148</v>
      </c>
      <c r="N53" s="125">
        <f t="shared" ca="1" si="39"/>
        <v>169782</v>
      </c>
      <c r="O53" s="124">
        <f t="shared" ref="O53:O55" ca="1" si="40">IF(L53&gt;0,N53*100/L53,0)</f>
        <v>113.188</v>
      </c>
      <c r="P53" s="124">
        <f t="shared" ref="P53:P55" ca="1" si="41">IF(M53&gt;0,N53*100/M53,0)</f>
        <v>95.303904618631705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150000</v>
      </c>
      <c r="M55" s="125">
        <f t="shared" ca="1" si="43"/>
        <v>178148</v>
      </c>
      <c r="N55" s="125">
        <f t="shared" ca="1" si="43"/>
        <v>169782</v>
      </c>
      <c r="O55" s="124">
        <f t="shared" ca="1" si="40"/>
        <v>113.188</v>
      </c>
      <c r="P55" s="124">
        <f t="shared" ca="1" si="41"/>
        <v>95.303904618631705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150000</v>
      </c>
      <c r="M57" s="91">
        <f ca="1">IFERROR(__xludf.DUMMYFUNCTION("IMPORTRANGE(""https://docs.google.com/spreadsheets/d/1Yj_ptqi66GCucihVvJfMjLAmec39IyEx_6qawtMGysU/edit?usp=sharing"",""สบก!Z91"")"),178148)</f>
        <v>178148</v>
      </c>
      <c r="N57" s="91">
        <f ca="1">IFERROR(__xludf.DUMMYFUNCTION("IMPORTRANGE(""https://docs.google.com/spreadsheets/d/1Yj_ptqi66GCucihVvJfMjLAmec39IyEx_6qawtMGysU/edit?usp=sharing"",""สบก!AA91"")"),169782)</f>
        <v>169782</v>
      </c>
      <c r="O57" s="92">
        <f ca="1">IF(L57&gt;0,N57*100/L57,0)</f>
        <v>113.188</v>
      </c>
      <c r="P57" s="92">
        <f ca="1">IF(M57&gt;0,N57*100/M57,0)</f>
        <v>95.303904618631705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IFERROR(__xludf.DUMMYFUNCTION("IMPORTRANGE(""https://docs.google.com/spreadsheets/d/1Yj_ptqi66GCucihVvJfMjLAmec39IyEx_6qawtMGysU/edit?usp=sharing"",""สบก!V91"")"),150000)</f>
        <v>150000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IFERROR(__xludf.DUMMYFUNCTION("IMPORTRANGE(""https://docs.google.com/spreadsheets/d/1Yj_ptqi66GCucihVvJfMjLAmec39IyEx_6qawtMGysU/edit?usp=sharing"",""สบก!AI91"")"),0)</f>
        <v>0</v>
      </c>
      <c r="N70" s="174">
        <f ca="1">IFERROR(__xludf.DUMMYFUNCTION("IMPORTRANGE(""https://docs.google.com/spreadsheets/d/1Yj_ptqi66GCucihVvJfMjLAmec39IyEx_6qawtMGysU/edit?usp=sharing"",""สบก!AJ91"")"),0)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IFERROR(__xludf.DUMMYFUNCTION("IMPORTRANGE(""https://docs.google.com/spreadsheets/d/1Yj_ptqi66GCucihVvJfMjLAmec39IyEx_6qawtMGysU/edit?usp=sharing"",""สบก!AE91"")"),0)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IFERROR(__xludf.DUMMYFUNCTION("IMPORTRANGE(""https://docs.google.com/spreadsheets/d/1Yj_ptqi66GCucihVvJfMjLAmec39IyEx_6qawtMGysU/edit?usp=sharing"",""สบก!AF91"")"),0)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IFERROR(__xludf.DUMMYFUNCTION("IMPORTRANGE(""https://docs.google.com/spreadsheets/d/1IYY_tgx_IHuhSq3AJ5eI5OnqOPBNLWSHKh2a30DoXe8/edit?usp=sharing"",""ระนอง!J16"")"),0)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IFERROR(__xludf.DUMMYFUNCTION("IMPORTRANGE(""https://docs.google.com/spreadsheets/d/1IYY_tgx_IHuhSq3AJ5eI5OnqOPBNLWSHKh2a30DoXe8/edit?usp=sharing"",""ระนอง!J17"")"),0)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IFERROR(__xludf.DUMMYFUNCTION("IMPORTRANGE(""https://docs.google.com/spreadsheets/d/1IYY_tgx_IHuhSq3AJ5eI5OnqOPBNLWSHKh2a30DoXe8/edit?usp=sharing"",""ระนอง!J18"")"),0)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IFERROR(__xludf.DUMMYFUNCTION("IMPORTRANGE(""https://docs.google.com/spreadsheets/d/1IYY_tgx_IHuhSq3AJ5eI5OnqOPBNLWSHKh2a30DoXe8/edit?usp=sharing"",""ระนอง!J19"")"),0)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IFERROR(__xludf.DUMMYFUNCTION("IMPORTRANGE(""https://docs.google.com/spreadsheets/d/1IYY_tgx_IHuhSq3AJ5eI5OnqOPBNLWSHKh2a30DoXe8/edit?usp=sharing"",""ระนอง!I20"")"),0)</f>
        <v>0</v>
      </c>
      <c r="J80" s="207">
        <f ca="1">IFERROR(__xludf.DUMMYFUNCTION("IMPORTRANGE(""https://docs.google.com/spreadsheets/d/1IYY_tgx_IHuhSq3AJ5eI5OnqOPBNLWSHKh2a30DoXe8/edit?usp=sharing"",""ระนอง!J20"")"),0)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IFERROR(__xludf.DUMMYFUNCTION("IMPORTRANGE(""https://docs.google.com/spreadsheets/d/1IYY_tgx_IHuhSq3AJ5eI5OnqOPBNLWSHKh2a30DoXe8/edit?usp=sharing"",""ระนอง!I21"")"),0)</f>
        <v>0</v>
      </c>
      <c r="J81" s="207">
        <f ca="1">IFERROR(__xludf.DUMMYFUNCTION("IMPORTRANGE(""https://docs.google.com/spreadsheets/d/1IYY_tgx_IHuhSq3AJ5eI5OnqOPBNLWSHKh2a30DoXe8/edit?usp=sharing"",""ระนอง!J21"")"),0)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IFERROR(__xludf.DUMMYFUNCTION("IMPORTRANGE(""https://docs.google.com/spreadsheets/d/1IYY_tgx_IHuhSq3AJ5eI5OnqOPBNLWSHKh2a30DoXe8/edit?usp=sharing"",""ระนอง!I22"")"),0)</f>
        <v>0</v>
      </c>
      <c r="J82" s="210">
        <f ca="1">IFERROR(__xludf.DUMMYFUNCTION("IMPORTRANGE(""https://docs.google.com/spreadsheets/d/1IYY_tgx_IHuhSq3AJ5eI5OnqOPBNLWSHKh2a30DoXe8/edit?usp=sharing"",""ระนอง!J22"")"),0)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IFERROR(__xludf.DUMMYFUNCTION("IMPORTRANGE(""https://docs.google.com/spreadsheets/d/1IYY_tgx_IHuhSq3AJ5eI5OnqOPBNLWSHKh2a30DoXe8/edit?usp=sharing"",""ระนอง!I23"")"),0)</f>
        <v>0</v>
      </c>
      <c r="J83" s="210">
        <f ca="1">IFERROR(__xludf.DUMMYFUNCTION("IMPORTRANGE(""https://docs.google.com/spreadsheets/d/1IYY_tgx_IHuhSq3AJ5eI5OnqOPBNLWSHKh2a30DoXe8/edit?usp=sharing"",""ระนอง!J23"")"),0)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IFERROR(__xludf.DUMMYFUNCTION("IMPORTRANGE(""https://docs.google.com/spreadsheets/d/1IYY_tgx_IHuhSq3AJ5eI5OnqOPBNLWSHKh2a30DoXe8/edit?usp=sharing"",""ระนอง!I24"")"),0)</f>
        <v>0</v>
      </c>
      <c r="J84" s="195">
        <f ca="1">IFERROR(__xludf.DUMMYFUNCTION("IMPORTRANGE(""https://docs.google.com/spreadsheets/d/1IYY_tgx_IHuhSq3AJ5eI5OnqOPBNLWSHKh2a30DoXe8/edit?usp=sharing"",""ระนอง!J24"")"),0)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IFERROR(__xludf.DUMMYFUNCTION("IMPORTRANGE(""https://docs.google.com/spreadsheets/d/1IYY_tgx_IHuhSq3AJ5eI5OnqOPBNLWSHKh2a30DoXe8/edit?usp=sharing"",""ระนอง!I25"")"),0)</f>
        <v>0</v>
      </c>
      <c r="J85" s="195">
        <f ca="1">IFERROR(__xludf.DUMMYFUNCTION("IMPORTRANGE(""https://docs.google.com/spreadsheets/d/1IYY_tgx_IHuhSq3AJ5eI5OnqOPBNLWSHKh2a30DoXe8/edit?usp=sharing"",""ระนอง!J25"")"),0)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IFERROR(__xludf.DUMMYFUNCTION("IMPORTRANGE(""https://docs.google.com/spreadsheets/d/1IYY_tgx_IHuhSq3AJ5eI5OnqOPBNLWSHKh2a30DoXe8/edit?usp=sharing"",""ระนอง!I26"")"),0)</f>
        <v>0</v>
      </c>
      <c r="J86" s="210">
        <f ca="1">IFERROR(__xludf.DUMMYFUNCTION("IMPORTRANGE(""https://docs.google.com/spreadsheets/d/1IYY_tgx_IHuhSq3AJ5eI5OnqOPBNLWSHKh2a30DoXe8/edit?usp=sharing"",""ระนอง!J26"")"),0)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IFERROR(__xludf.DUMMYFUNCTION("IMPORTRANGE(""https://docs.google.com/spreadsheets/d/1IYY_tgx_IHuhSq3AJ5eI5OnqOPBNLWSHKh2a30DoXe8/edit?usp=sharing"",""ระนอง!I27"")"),0)</f>
        <v>0</v>
      </c>
      <c r="J87" s="210">
        <f ca="1">IFERROR(__xludf.DUMMYFUNCTION("IMPORTRANGE(""https://docs.google.com/spreadsheets/d/1IYY_tgx_IHuhSq3AJ5eI5OnqOPBNLWSHKh2a30DoXe8/edit?usp=sharing"",""ระนอง!J27"")"),0)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IFERROR(__xludf.DUMMYFUNCTION("IMPORTRANGE(""https://docs.google.com/spreadsheets/d/1IYY_tgx_IHuhSq3AJ5eI5OnqOPBNLWSHKh2a30DoXe8/edit?usp=sharing"",""ระนอง!I28"")"),0)</f>
        <v>0</v>
      </c>
      <c r="J88" s="210">
        <f ca="1">IFERROR(__xludf.DUMMYFUNCTION("IMPORTRANGE(""https://docs.google.com/spreadsheets/d/1IYY_tgx_IHuhSq3AJ5eI5OnqOPBNLWSHKh2a30DoXe8/edit?usp=sharing"",""ระนอง!J28"")"),0)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IFERROR(__xludf.DUMMYFUNCTION("IMPORTRANGE(""https://docs.google.com/spreadsheets/d/1IYY_tgx_IHuhSq3AJ5eI5OnqOPBNLWSHKh2a30DoXe8/edit?usp=sharing"",""ระนอง!J29"")"),0)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IFERROR(__xludf.DUMMYFUNCTION("IMPORTRANGE(""https://docs.google.com/spreadsheets/d/1IYY_tgx_IHuhSq3AJ5eI5OnqOPBNLWSHKh2a30DoXe8/edit?usp=sharing"",""ระนอง!J30"")"),0)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219500</v>
      </c>
      <c r="N94" s="156">
        <f t="shared" ca="1" si="52"/>
        <v>181295</v>
      </c>
      <c r="O94" s="155">
        <f t="shared" ref="O94:O96" ca="1" si="53">IF(L94&gt;0,N94*100/L94,0)</f>
        <v>84.519813519813525</v>
      </c>
      <c r="P94" s="155">
        <f t="shared" ref="P94:P96" ca="1" si="54">IF(M94&gt;0,N94*100/M94,0)</f>
        <v>82.594533029612762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219500</v>
      </c>
      <c r="N96" s="161">
        <f t="shared" ca="1" si="56"/>
        <v>181295</v>
      </c>
      <c r="O96" s="160">
        <f t="shared" ca="1" si="53"/>
        <v>84.519813519813525</v>
      </c>
      <c r="P96" s="160">
        <f t="shared" ca="1" si="54"/>
        <v>82.594533029612762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IFERROR(__xludf.DUMMYFUNCTION("IMPORTRANGE(""https://docs.google.com/spreadsheets/d/1Yj_ptqi66GCucihVvJfMjLAmec39IyEx_6qawtMGysU/edit?usp=sharing"",""สบก!AR91"")"),127100)</f>
        <v>127100</v>
      </c>
      <c r="N98" s="174">
        <f ca="1">IFERROR(__xludf.DUMMYFUNCTION("IMPORTRANGE(""https://docs.google.com/spreadsheets/d/1Yj_ptqi66GCucihVvJfMjLAmec39IyEx_6qawtMGysU/edit?usp=sharing"",""สบก!AS91"")"),88895)</f>
        <v>88895</v>
      </c>
      <c r="O98" s="175">
        <f ca="1">IF(L98&gt;0,N98*100/L98,0)</f>
        <v>72.805077805077801</v>
      </c>
      <c r="P98" s="175">
        <f ca="1">IF(M98&gt;0,N98*100/M98,0)</f>
        <v>69.940991345397322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IFERROR(__xludf.DUMMYFUNCTION("IMPORTRANGE(""https://docs.google.com/spreadsheets/d/1Yj_ptqi66GCucihVvJfMjLAmec39IyEx_6qawtMGysU/edit?usp=sharing"",""สบก!AO91"")"),122100)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IFERROR(__xludf.DUMMYFUNCTION("IMPORTRANGE(""https://docs.google.com/spreadsheets/d/1IYY_tgx_IHuhSq3AJ5eI5OnqOPBNLWSHKh2a30DoXe8/edit?usp=sharing"",""ระนอง!J39"")"),0)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IFERROR(__xludf.DUMMYFUNCTION("IMPORTRANGE(""https://docs.google.com/spreadsheets/d/1IYY_tgx_IHuhSq3AJ5eI5OnqOPBNLWSHKh2a30DoXe8/edit?usp=sharing"",""ระนอง!J40"")"),1)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IFERROR(__xludf.DUMMYFUNCTION("IMPORTRANGE(""https://docs.google.com/spreadsheets/d/1IYY_tgx_IHuhSq3AJ5eI5OnqOPBNLWSHKh2a30DoXe8/edit?usp=sharing"",""ระนอง!J41"")"),1)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IFERROR(__xludf.DUMMYFUNCTION("IMPORTRANGE(""https://docs.google.com/spreadsheets/d/1IYY_tgx_IHuhSq3AJ5eI5OnqOPBNLWSHKh2a30DoXe8/edit?usp=sharing"",""ระนอง!J42"")"),1)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IFERROR(__xludf.DUMMYFUNCTION("IMPORTRANGE(""https://docs.google.com/spreadsheets/d/1IYY_tgx_IHuhSq3AJ5eI5OnqOPBNLWSHKh2a30DoXe8/edit?usp=sharing"",""ระนอง!I43"")"),1)</f>
        <v>1</v>
      </c>
      <c r="J108" s="210">
        <f ca="1">IFERROR(__xludf.DUMMYFUNCTION("IMPORTRANGE(""https://docs.google.com/spreadsheets/d/1IYY_tgx_IHuhSq3AJ5eI5OnqOPBNLWSHKh2a30DoXe8/edit?usp=sharing"",""ระนอง!J43"")"),1)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IFERROR(__xludf.DUMMYFUNCTION("IMPORTRANGE(""https://docs.google.com/spreadsheets/d/1IYY_tgx_IHuhSq3AJ5eI5OnqOPBNLWSHKh2a30DoXe8/edit?usp=sharing"",""ระนอง!I44"")"),4)</f>
        <v>4</v>
      </c>
      <c r="J109" s="210">
        <f ca="1">IFERROR(__xludf.DUMMYFUNCTION("IMPORTRANGE(""https://docs.google.com/spreadsheets/d/1IYY_tgx_IHuhSq3AJ5eI5OnqOPBNLWSHKh2a30DoXe8/edit?usp=sharing"",""ระนอง!J44"")"),4)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IFERROR(__xludf.DUMMYFUNCTION("IMPORTRANGE(""https://docs.google.com/spreadsheets/d/1IYY_tgx_IHuhSq3AJ5eI5OnqOPBNLWSHKh2a30DoXe8/edit?usp=sharing"",""ระนอง!I45"")"),4)</f>
        <v>4</v>
      </c>
      <c r="J110" s="210">
        <f ca="1">IFERROR(__xludf.DUMMYFUNCTION("IMPORTRANGE(""https://docs.google.com/spreadsheets/d/1IYY_tgx_IHuhSq3AJ5eI5OnqOPBNLWSHKh2a30DoXe8/edit?usp=sharing"",""ระนอง!J45"")"),4)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IFERROR(__xludf.DUMMYFUNCTION("IMPORTRANGE(""https://docs.google.com/spreadsheets/d/1IYY_tgx_IHuhSq3AJ5eI5OnqOPBNLWSHKh2a30DoXe8/edit?usp=sharing"",""ระนอง!I46"")"),4)</f>
        <v>4</v>
      </c>
      <c r="J111" s="210">
        <f ca="1">IFERROR(__xludf.DUMMYFUNCTION("IMPORTRANGE(""https://docs.google.com/spreadsheets/d/1IYY_tgx_IHuhSq3AJ5eI5OnqOPBNLWSHKh2a30DoXe8/edit?usp=sharing"",""ระนอง!J46"")"),4)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IFERROR(__xludf.DUMMYFUNCTION("IMPORTRANGE(""https://docs.google.com/spreadsheets/d/1IYY_tgx_IHuhSq3AJ5eI5OnqOPBNLWSHKh2a30DoXe8/edit?usp=sharing"",""ระนอง!I47"")"),4)</f>
        <v>4</v>
      </c>
      <c r="J112" s="210">
        <f ca="1">IFERROR(__xludf.DUMMYFUNCTION("IMPORTRANGE(""https://docs.google.com/spreadsheets/d/1IYY_tgx_IHuhSq3AJ5eI5OnqOPBNLWSHKh2a30DoXe8/edit?usp=sharing"",""ระนอง!J47"")"),4)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IFERROR(__xludf.DUMMYFUNCTION("IMPORTRANGE(""https://docs.google.com/spreadsheets/d/1IYY_tgx_IHuhSq3AJ5eI5OnqOPBNLWSHKh2a30DoXe8/edit?usp=sharing"",""ระนอง!I48"")"),1)</f>
        <v>1</v>
      </c>
      <c r="J113" s="210">
        <f ca="1">IFERROR(__xludf.DUMMYFUNCTION("IMPORTRANGE(""https://docs.google.com/spreadsheets/d/1IYY_tgx_IHuhSq3AJ5eI5OnqOPBNLWSHKh2a30DoXe8/edit?usp=sharing"",""ระนอง!J48"")"),1)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IFERROR(__xludf.DUMMYFUNCTION("IMPORTRANGE(""https://docs.google.com/spreadsheets/d/1IYY_tgx_IHuhSq3AJ5eI5OnqOPBNLWSHKh2a30DoXe8/edit?usp=sharing"",""ระนอง!J49"")"),0)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IFERROR(__xludf.DUMMYFUNCTION("IMPORTRANGE(""https://docs.google.com/spreadsheets/d/1IYY_tgx_IHuhSq3AJ5eI5OnqOPBNLWSHKh2a30DoXe8/edit?usp=sharing"",""ระนอง!J50"")"),0)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IFERROR(__xludf.DUMMYFUNCTION("IMPORTRANGE(""https://docs.google.com/spreadsheets/d/1Yj_ptqi66GCucihVvJfMjLAmec39IyEx_6qawtMGysU/edit?usp=sharing"",""สบก!BA91"")"),0)</f>
        <v>0</v>
      </c>
      <c r="N122" s="174">
        <f ca="1">IFERROR(__xludf.DUMMYFUNCTION("IMPORTRANGE(""https://docs.google.com/spreadsheets/d/1Yj_ptqi66GCucihVvJfMjLAmec39IyEx_6qawtMGysU/edit?usp=sharing"",""สบก!BB91"")"),0)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IFERROR(__xludf.DUMMYFUNCTION("IMPORTRANGE(""https://docs.google.com/spreadsheets/d/1Yj_ptqi66GCucihVvJfMjLAmec39IyEx_6qawtMGysU/edit?usp=sharing"",""สบก!AX91"")"),0)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IFERROR(__xludf.DUMMYFUNCTION("IMPORTRANGE(""https://docs.google.com/spreadsheets/d/1IYY_tgx_IHuhSq3AJ5eI5OnqOPBNLWSHKh2a30DoXe8/edit?usp=sharing"",""ระนอง!J58"")"),0)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IFERROR(__xludf.DUMMYFUNCTION("IMPORTRANGE(""https://docs.google.com/spreadsheets/d/1IYY_tgx_IHuhSq3AJ5eI5OnqOPBNLWSHKh2a30DoXe8/edit?usp=sharing"",""ระนอง!J59"")"),0)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IFERROR(__xludf.DUMMYFUNCTION("IMPORTRANGE(""https://docs.google.com/spreadsheets/d/1IYY_tgx_IHuhSq3AJ5eI5OnqOPBNLWSHKh2a30DoXe8/edit?usp=sharing"",""ระนอง!J60"")"),0)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IFERROR(__xludf.DUMMYFUNCTION("IMPORTRANGE(""https://docs.google.com/spreadsheets/d/1IYY_tgx_IHuhSq3AJ5eI5OnqOPBNLWSHKh2a30DoXe8/edit?usp=sharing"",""ระนอง!J61"")"),0)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IFERROR(__xludf.DUMMYFUNCTION("IMPORTRANGE(""https://docs.google.com/spreadsheets/d/1IYY_tgx_IHuhSq3AJ5eI5OnqOPBNLWSHKh2a30DoXe8/edit?usp=sharing"",""ระนอง!I62"")"),0)</f>
        <v>0</v>
      </c>
      <c r="J132" s="210">
        <f ca="1">IFERROR(__xludf.DUMMYFUNCTION("IMPORTRANGE(""https://docs.google.com/spreadsheets/d/1IYY_tgx_IHuhSq3AJ5eI5OnqOPBNLWSHKh2a30DoXe8/edit?usp=sharing"",""ระนอง!J62"")"),0)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IFERROR(__xludf.DUMMYFUNCTION("IMPORTRANGE(""https://docs.google.com/spreadsheets/d/1IYY_tgx_IHuhSq3AJ5eI5OnqOPBNLWSHKh2a30DoXe8/edit?usp=sharing"",""ระนอง!I63"")"),0)</f>
        <v>0</v>
      </c>
      <c r="J133" s="210">
        <f ca="1">IFERROR(__xludf.DUMMYFUNCTION("IMPORTRANGE(""https://docs.google.com/spreadsheets/d/1IYY_tgx_IHuhSq3AJ5eI5OnqOPBNLWSHKh2a30DoXe8/edit?usp=sharing"",""ระนอง!J63"")"),0)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IFERROR(__xludf.DUMMYFUNCTION("IMPORTRANGE(""https://docs.google.com/spreadsheets/d/1IYY_tgx_IHuhSq3AJ5eI5OnqOPBNLWSHKh2a30DoXe8/edit?usp=sharing"",""ระนอง!J64"")"),0)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IFERROR(__xludf.DUMMYFUNCTION("IMPORTRANGE(""https://docs.google.com/spreadsheets/d/1IYY_tgx_IHuhSq3AJ5eI5OnqOPBNLWSHKh2a30DoXe8/edit?usp=sharing"",""ระนอง!J65"")"),0)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IFERROR(__xludf.DUMMYFUNCTION("IMPORTRANGE(""https://docs.google.com/spreadsheets/d/1IYY_tgx_IHuhSq3AJ5eI5OnqOPBNLWSHKh2a30DoXe8/edit?usp=sharing"",""ระนอง!I68"")"),0)</f>
        <v>0</v>
      </c>
      <c r="J138" s="273">
        <f ca="1">IFERROR(__xludf.DUMMYFUNCTION("IMPORTRANGE(""https://docs.google.com/spreadsheets/d/1IYY_tgx_IHuhSq3AJ5eI5OnqOPBNLWSHKh2a30DoXe8/edit?usp=sharing"",""ระนอง!J68"")"),0)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43600</v>
      </c>
      <c r="M140" s="156">
        <f t="shared" ca="1" si="64"/>
        <v>51600</v>
      </c>
      <c r="N140" s="156">
        <f t="shared" ca="1" si="64"/>
        <v>41270</v>
      </c>
      <c r="O140" s="155">
        <f t="shared" ref="O140:O142" ca="1" si="65">IF(L140&gt;0,N140*100/L140,0)</f>
        <v>94.655963302752298</v>
      </c>
      <c r="P140" s="155">
        <f t="shared" ref="P140:P142" ca="1" si="66">IF(M140&gt;0,N140*100/M140,0)</f>
        <v>79.980620155038764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43600</v>
      </c>
      <c r="M142" s="161">
        <f t="shared" ca="1" si="68"/>
        <v>51600</v>
      </c>
      <c r="N142" s="161">
        <f t="shared" ca="1" si="68"/>
        <v>41270</v>
      </c>
      <c r="O142" s="160">
        <f t="shared" ca="1" si="65"/>
        <v>94.655963302752298</v>
      </c>
      <c r="P142" s="160">
        <f t="shared" ca="1" si="66"/>
        <v>79.980620155038764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43600</v>
      </c>
      <c r="M144" s="173">
        <f ca="1">IFERROR(__xludf.DUMMYFUNCTION("IMPORTRANGE(""https://docs.google.com/spreadsheets/d/1Yj_ptqi66GCucihVvJfMjLAmec39IyEx_6qawtMGysU/edit?usp=sharing"",""สบก!BJ91"")"),51600)</f>
        <v>51600</v>
      </c>
      <c r="N144" s="174">
        <f ca="1">IFERROR(__xludf.DUMMYFUNCTION("IMPORTRANGE(""https://docs.google.com/spreadsheets/d/1Yj_ptqi66GCucihVvJfMjLAmec39IyEx_6qawtMGysU/edit?usp=sharing"",""สบก!BK91"")"),41270)</f>
        <v>41270</v>
      </c>
      <c r="O144" s="175">
        <f ca="1">IF(L144&gt;0,N144*100/L144,0)</f>
        <v>94.655963302752298</v>
      </c>
      <c r="P144" s="175">
        <f ca="1">IF(M144&gt;0,N144*100/M144,0)</f>
        <v>79.980620155038764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IFERROR(__xludf.DUMMYFUNCTION("IMPORTRANGE(""https://docs.google.com/spreadsheets/d/1Yj_ptqi66GCucihVvJfMjLAmec39IyEx_6qawtMGysU/edit?usp=sharing"",""สบก!BG91"")"),43600)</f>
        <v>43600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IFERROR(__xludf.DUMMYFUNCTION("IMPORTRANGE(""https://docs.google.com/spreadsheets/d/1IYY_tgx_IHuhSq3AJ5eI5OnqOPBNLWSHKh2a30DoXe8/edit?usp=sharing"",""ระนอง!I74"")"),4)</f>
        <v>4</v>
      </c>
      <c r="J149" s="281">
        <f ca="1">IFERROR(__xludf.DUMMYFUNCTION("IMPORTRANGE(""https://docs.google.com/spreadsheets/d/1IYY_tgx_IHuhSq3AJ5eI5OnqOPBNLWSHKh2a30DoXe8/edit?usp=sharing"",""ระนอง!J74"")"),2)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IFERROR(__xludf.DUMMYFUNCTION("IMPORTRANGE(""https://docs.google.com/spreadsheets/d/1IYY_tgx_IHuhSq3AJ5eI5OnqOPBNLWSHKh2a30DoXe8/edit?usp=sharing"",""ระนอง!J79"")"),0)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IFERROR(__xludf.DUMMYFUNCTION("IMPORTRANGE(""https://docs.google.com/spreadsheets/d/1IYY_tgx_IHuhSq3AJ5eI5OnqOPBNLWSHKh2a30DoXe8/edit?usp=sharing"",""ระนอง!J80"")"),1)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IFERROR(__xludf.DUMMYFUNCTION("IMPORTRANGE(""https://docs.google.com/spreadsheets/d/1IYY_tgx_IHuhSq3AJ5eI5OnqOPBNLWSHKh2a30DoXe8/edit?usp=sharing"",""ระนอง!J81"")"),1)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IFERROR(__xludf.DUMMYFUNCTION("IMPORTRANGE(""https://docs.google.com/spreadsheets/d/1IYY_tgx_IHuhSq3AJ5eI5OnqOPBNLWSHKh2a30DoXe8/edit?usp=sharing"",""ระนอง!J82"")"),1)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IFERROR(__xludf.DUMMYFUNCTION("IMPORTRANGE(""https://docs.google.com/spreadsheets/d/1IYY_tgx_IHuhSq3AJ5eI5OnqOPBNLWSHKh2a30DoXe8/edit?usp=sharing"",""ระนอง!I83"")"),4)</f>
        <v>4</v>
      </c>
      <c r="J158" s="195">
        <f ca="1">IFERROR(__xludf.DUMMYFUNCTION("IMPORTRANGE(""https://docs.google.com/spreadsheets/d/1IYY_tgx_IHuhSq3AJ5eI5OnqOPBNLWSHKh2a30DoXe8/edit?usp=sharing"",""ระนอง!J83"")"),2)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IFERROR(__xludf.DUMMYFUNCTION("IMPORTRANGE(""https://docs.google.com/spreadsheets/d/1IYY_tgx_IHuhSq3AJ5eI5OnqOPBNLWSHKh2a30DoXe8/edit?usp=sharing"",""ระนอง!J84"")"),0)</f>
        <v>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IFERROR(__xludf.DUMMYFUNCTION("IMPORTRANGE(""https://docs.google.com/spreadsheets/d/1IYY_tgx_IHuhSq3AJ5eI5OnqOPBNLWSHKh2a30DoXe8/edit?usp=sharing"",""ระนอง!J87"")"),0)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IFERROR(__xludf.DUMMYFUNCTION("IMPORTRANGE(""https://docs.google.com/spreadsheets/d/1IYY_tgx_IHuhSq3AJ5eI5OnqOPBNLWSHKh2a30DoXe8/edit?usp=sharing"",""ระนอง!J88"")"),0)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IFERROR(__xludf.DUMMYFUNCTION("IMPORTRANGE(""https://docs.google.com/spreadsheets/d/1IYY_tgx_IHuhSq3AJ5eI5OnqOPBNLWSHKh2a30DoXe8/edit?usp=sharing"",""ระนอง!J94"")"),0)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IFERROR(__xludf.DUMMYFUNCTION("IMPORTRANGE(""https://docs.google.com/spreadsheets/d/1IYY_tgx_IHuhSq3AJ5eI5OnqOPBNLWSHKh2a30DoXe8/edit?usp=sharing"",""ระนอง!J95"")"),1)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IFERROR(__xludf.DUMMYFUNCTION("IMPORTRANGE(""https://docs.google.com/spreadsheets/d/1IYY_tgx_IHuhSq3AJ5eI5OnqOPBNLWSHKh2a30DoXe8/edit?usp=sharing"",""ระนอง!J96"")"),1)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IFERROR(__xludf.DUMMYFUNCTION("IMPORTRANGE(""https://docs.google.com/spreadsheets/d/1IYY_tgx_IHuhSq3AJ5eI5OnqOPBNLWSHKh2a30DoXe8/edit?usp=sharing"",""ระนอง!J97"")"),1)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IFERROR(__xludf.DUMMYFUNCTION("IMPORTRANGE(""https://docs.google.com/spreadsheets/d/1IYY_tgx_IHuhSq3AJ5eI5OnqOPBNLWSHKh2a30DoXe8/edit?usp=sharing"",""ระนอง!I98"")"),2)</f>
        <v>2</v>
      </c>
      <c r="J173" s="195">
        <f ca="1">IFERROR(__xludf.DUMMYFUNCTION("IMPORTRANGE(""https://docs.google.com/spreadsheets/d/1IYY_tgx_IHuhSq3AJ5eI5OnqOPBNLWSHKh2a30DoXe8/edit?usp=sharing"",""ระนอง!J98"")"),2)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IFERROR(__xludf.DUMMYFUNCTION("IMPORTRANGE(""https://docs.google.com/spreadsheets/d/1IYY_tgx_IHuhSq3AJ5eI5OnqOPBNLWSHKh2a30DoXe8/edit?usp=sharing"",""ระนอง!J99"")"),0)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IFERROR(__xludf.DUMMYFUNCTION("IMPORTRANGE(""https://docs.google.com/spreadsheets/d/1IYY_tgx_IHuhSq3AJ5eI5OnqOPBNLWSHKh2a30DoXe8/edit?usp=sharing"",""ระนอง!J100"")"),0)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IFERROR(__xludf.DUMMYFUNCTION("IMPORTRANGE(""https://docs.google.com/spreadsheets/d/1IYY_tgx_IHuhSq3AJ5eI5OnqOPBNLWSHKh2a30DoXe8/edit?usp=sharing"",""ระนอง!J106"")"),0)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IFERROR(__xludf.DUMMYFUNCTION("IMPORTRANGE(""https://docs.google.com/spreadsheets/d/1IYY_tgx_IHuhSq3AJ5eI5OnqOPBNLWSHKh2a30DoXe8/edit?usp=sharing"",""ระนอง!J107"")"),0)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IFERROR(__xludf.DUMMYFUNCTION("IMPORTRANGE(""https://docs.google.com/spreadsheets/d/1IYY_tgx_IHuhSq3AJ5eI5OnqOPBNLWSHKh2a30DoXe8/edit?usp=sharing"",""ระนอง!J108"")"),0)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IFERROR(__xludf.DUMMYFUNCTION("IMPORTRANGE(""https://docs.google.com/spreadsheets/d/1IYY_tgx_IHuhSq3AJ5eI5OnqOPBNLWSHKh2a30DoXe8/edit?usp=sharing"",""ระนอง!J109"")"),0)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IFERROR(__xludf.DUMMYFUNCTION("IMPORTRANGE(""https://docs.google.com/spreadsheets/d/1IYY_tgx_IHuhSq3AJ5eI5OnqOPBNLWSHKh2a30DoXe8/edit?usp=sharing"",""ระนอง!I110"")"),0)</f>
        <v>0</v>
      </c>
      <c r="J185" s="210">
        <f ca="1">IFERROR(__xludf.DUMMYFUNCTION("IMPORTRANGE(""https://docs.google.com/spreadsheets/d/1IYY_tgx_IHuhSq3AJ5eI5OnqOPBNLWSHKh2a30DoXe8/edit?usp=sharing"",""ระนอง!J110"")"),0)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IFERROR(__xludf.DUMMYFUNCTION("IMPORTRANGE(""https://docs.google.com/spreadsheets/d/1IYY_tgx_IHuhSq3AJ5eI5OnqOPBNLWSHKh2a30DoXe8/edit?usp=sharing"",""ระนอง!I111"")"),0)</f>
        <v>0</v>
      </c>
      <c r="J186" s="210">
        <f ca="1">IFERROR(__xludf.DUMMYFUNCTION("IMPORTRANGE(""https://docs.google.com/spreadsheets/d/1IYY_tgx_IHuhSq3AJ5eI5OnqOPBNLWSHKh2a30DoXe8/edit?usp=sharing"",""ระนอง!J111"")"),0)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IFERROR(__xludf.DUMMYFUNCTION("IMPORTRANGE(""https://docs.google.com/spreadsheets/d/1IYY_tgx_IHuhSq3AJ5eI5OnqOPBNLWSHKh2a30DoXe8/edit?usp=sharing"",""ระนอง!J112"")"),0)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IFERROR(__xludf.DUMMYFUNCTION("IMPORTRANGE(""https://docs.google.com/spreadsheets/d/1IYY_tgx_IHuhSq3AJ5eI5OnqOPBNLWSHKh2a30DoXe8/edit?usp=sharing"",""ระนอง!J113"")"),0)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IFERROR(__xludf.DUMMYFUNCTION("IMPORTRANGE(""https://docs.google.com/spreadsheets/d/1IYY_tgx_IHuhSq3AJ5eI5OnqOPBNLWSHKh2a30DoXe8/edit?usp=sharing"",""ระนอง!J119"")"),0)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IFERROR(__xludf.DUMMYFUNCTION("IMPORTRANGE(""https://docs.google.com/spreadsheets/d/1IYY_tgx_IHuhSq3AJ5eI5OnqOPBNLWSHKh2a30DoXe8/edit?usp=sharing"",""ระนอง!J120"")"),1)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IFERROR(__xludf.DUMMYFUNCTION("IMPORTRANGE(""https://docs.google.com/spreadsheets/d/1IYY_tgx_IHuhSq3AJ5eI5OnqOPBNLWSHKh2a30DoXe8/edit?usp=sharing"",""ระนอง!J121"")"),1)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IFERROR(__xludf.DUMMYFUNCTION("IMPORTRANGE(""https://docs.google.com/spreadsheets/d/1IYY_tgx_IHuhSq3AJ5eI5OnqOPBNLWSHKh2a30DoXe8/edit?usp=sharing"",""ระนอง!J122"")"),1)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IFERROR(__xludf.DUMMYFUNCTION("IMPORTRANGE(""https://docs.google.com/spreadsheets/d/1IYY_tgx_IHuhSq3AJ5eI5OnqOPBNLWSHKh2a30DoXe8/edit?usp=sharing"",""ระนอง!I124"")"),12800)</f>
        <v>12800</v>
      </c>
      <c r="J199" s="195">
        <f ca="1">IFERROR(__xludf.DUMMYFUNCTION("IMPORTRANGE(""https://docs.google.com/spreadsheets/d/1IYY_tgx_IHuhSq3AJ5eI5OnqOPBNLWSHKh2a30DoXe8/edit?usp=sharing"",""ระนอง!J124"")"),0)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IFERROR(__xludf.DUMMYFUNCTION("IMPORTRANGE(""https://docs.google.com/spreadsheets/d/1IYY_tgx_IHuhSq3AJ5eI5OnqOPBNLWSHKh2a30DoXe8/edit?usp=sharing"",""ระนอง!I125"")"),12800)</f>
        <v>12800</v>
      </c>
      <c r="J200" s="195">
        <f ca="1">IFERROR(__xludf.DUMMYFUNCTION("IMPORTRANGE(""https://docs.google.com/spreadsheets/d/1IYY_tgx_IHuhSq3AJ5eI5OnqOPBNLWSHKh2a30DoXe8/edit?usp=sharing"",""ระนอง!J125"")"),0)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IFERROR(__xludf.DUMMYFUNCTION("IMPORTRANGE(""https://docs.google.com/spreadsheets/d/1IYY_tgx_IHuhSq3AJ5eI5OnqOPBNLWSHKh2a30DoXe8/edit?usp=sharing"",""ระนอง!I126"")"),0)</f>
        <v>0</v>
      </c>
      <c r="J201" s="195">
        <f ca="1">IFERROR(__xludf.DUMMYFUNCTION("IMPORTRANGE(""https://docs.google.com/spreadsheets/d/1IYY_tgx_IHuhSq3AJ5eI5OnqOPBNLWSHKh2a30DoXe8/edit?usp=sharing"",""ระนอง!J126"")"),0)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IFERROR(__xludf.DUMMYFUNCTION("IMPORTRANGE(""https://docs.google.com/spreadsheets/d/1IYY_tgx_IHuhSq3AJ5eI5OnqOPBNLWSHKh2a30DoXe8/edit?usp=sharing"",""ระนอง!J127"")"),0)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IFERROR(__xludf.DUMMYFUNCTION("IMPORTRANGE(""https://docs.google.com/spreadsheets/d/1IYY_tgx_IHuhSq3AJ5eI5OnqOPBNLWSHKh2a30DoXe8/edit?usp=sharing"",""ระนอง!J128"")"),0)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IFERROR(__xludf.DUMMYFUNCTION("IMPORTRANGE(""https://docs.google.com/spreadsheets/d/1IYY_tgx_IHuhSq3AJ5eI5OnqOPBNLWSHKh2a30DoXe8/edit?usp=sharing"",""ระนอง!J134"")"),0)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IFERROR(__xludf.DUMMYFUNCTION("IMPORTRANGE(""https://docs.google.com/spreadsheets/d/1IYY_tgx_IHuhSq3AJ5eI5OnqOPBNLWSHKh2a30DoXe8/edit?usp=sharing"",""ระนอง!J135"")"),0)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IFERROR(__xludf.DUMMYFUNCTION("IMPORTRANGE(""https://docs.google.com/spreadsheets/d/1IYY_tgx_IHuhSq3AJ5eI5OnqOPBNLWSHKh2a30DoXe8/edit?usp=sharing"",""ระนอง!J136"")"),0)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IFERROR(__xludf.DUMMYFUNCTION("IMPORTRANGE(""https://docs.google.com/spreadsheets/d/1IYY_tgx_IHuhSq3AJ5eI5OnqOPBNLWSHKh2a30DoXe8/edit?usp=sharing"",""ระนอง!J137"")"),0)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IFERROR(__xludf.DUMMYFUNCTION("IMPORTRANGE(""https://docs.google.com/spreadsheets/d/1IYY_tgx_IHuhSq3AJ5eI5OnqOPBNLWSHKh2a30DoXe8/edit?usp=sharing"",""ระนอง!I138"")"),0)</f>
        <v>0</v>
      </c>
      <c r="J213" s="210">
        <f ca="1">IFERROR(__xludf.DUMMYFUNCTION("IMPORTRANGE(""https://docs.google.com/spreadsheets/d/1IYY_tgx_IHuhSq3AJ5eI5OnqOPBNLWSHKh2a30DoXe8/edit?usp=sharing"",""ระนอง!J138"")"),0)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IFERROR(__xludf.DUMMYFUNCTION("IMPORTRANGE(""https://docs.google.com/spreadsheets/d/1IYY_tgx_IHuhSq3AJ5eI5OnqOPBNLWSHKh2a30DoXe8/edit?usp=sharing"",""ระนอง!I140"")"),0)</f>
        <v>0</v>
      </c>
      <c r="J215" s="210">
        <f ca="1">IFERROR(__xludf.DUMMYFUNCTION("IMPORTRANGE(""https://docs.google.com/spreadsheets/d/1IYY_tgx_IHuhSq3AJ5eI5OnqOPBNLWSHKh2a30DoXe8/edit?usp=sharing"",""ระนอง!J140"")"),0)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IFERROR(__xludf.DUMMYFUNCTION("IMPORTRANGE(""https://docs.google.com/spreadsheets/d/1IYY_tgx_IHuhSq3AJ5eI5OnqOPBNLWSHKh2a30DoXe8/edit?usp=sharing"",""ระนอง!I141"")"),0)</f>
        <v>0</v>
      </c>
      <c r="J216" s="210">
        <f ca="1">IFERROR(__xludf.DUMMYFUNCTION("IMPORTRANGE(""https://docs.google.com/spreadsheets/d/1IYY_tgx_IHuhSq3AJ5eI5OnqOPBNLWSHKh2a30DoXe8/edit?usp=sharing"",""ระนอง!J141"")"),0)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IFERROR(__xludf.DUMMYFUNCTION("IMPORTRANGE(""https://docs.google.com/spreadsheets/d/1IYY_tgx_IHuhSq3AJ5eI5OnqOPBNLWSHKh2a30DoXe8/edit?usp=sharing"",""ระนอง!J142"")"),0)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IFERROR(__xludf.DUMMYFUNCTION("IMPORTRANGE(""https://docs.google.com/spreadsheets/d/1IYY_tgx_IHuhSq3AJ5eI5OnqOPBNLWSHKh2a30DoXe8/edit?usp=sharing"",""ระนอง!J143"")"),0)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IFERROR(__xludf.DUMMYFUNCTION("IMPORTRANGE(""https://docs.google.com/spreadsheets/d/1IYY_tgx_IHuhSq3AJ5eI5OnqOPBNLWSHKh2a30DoXe8/edit?usp=sharing"",""ระนอง!I144"")"),13)</f>
        <v>13</v>
      </c>
      <c r="J219" s="273">
        <f ca="1">IFERROR(__xludf.DUMMYFUNCTION("IMPORTRANGE(""https://docs.google.com/spreadsheets/d/1IYY_tgx_IHuhSq3AJ5eI5OnqOPBNLWSHKh2a30DoXe8/edit?usp=sharing"",""ระนอง!J144"")"),13)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IFERROR(__xludf.DUMMYFUNCTION("IMPORTRANGE(""https://docs.google.com/spreadsheets/d/1Yj_ptqi66GCucihVvJfMjLAmec39IyEx_6qawtMGysU/edit?usp=sharing"",""สบก!BS91"")"),19295)</f>
        <v>19295</v>
      </c>
      <c r="N224" s="174">
        <f ca="1">IFERROR(__xludf.DUMMYFUNCTION("IMPORTRANGE(""https://docs.google.com/spreadsheets/d/1Yj_ptqi66GCucihVvJfMjLAmec39IyEx_6qawtMGysU/edit?usp=sharing"",""สบก!BT91"")"),19295)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IFERROR(__xludf.DUMMYFUNCTION("IMPORTRANGE(""https://docs.google.com/spreadsheets/d/1IYY_tgx_IHuhSq3AJ5eI5OnqOPBNLWSHKh2a30DoXe8/edit?usp=sharing"",""ระนอง!I149"")"),13)</f>
        <v>13</v>
      </c>
      <c r="J229" s="273">
        <f ca="1">IFERROR(__xludf.DUMMYFUNCTION("IMPORTRANGE(""https://docs.google.com/spreadsheets/d/1IYY_tgx_IHuhSq3AJ5eI5OnqOPBNLWSHKh2a30DoXe8/edit?usp=sharing"",""ระนอง!J149"")"),13)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IFERROR(__xludf.DUMMYFUNCTION("IMPORTRANGE(""https://docs.google.com/spreadsheets/d/1IYY_tgx_IHuhSq3AJ5eI5OnqOPBNLWSHKh2a30DoXe8/edit?usp=sharing"",""ระนอง!J151"")"),0)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IFERROR(__xludf.DUMMYFUNCTION("IMPORTRANGE(""https://docs.google.com/spreadsheets/d/1IYY_tgx_IHuhSq3AJ5eI5OnqOPBNLWSHKh2a30DoXe8/edit?usp=sharing"",""ระนอง!J152"")"),1)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IFERROR(__xludf.DUMMYFUNCTION("IMPORTRANGE(""https://docs.google.com/spreadsheets/d/1IYY_tgx_IHuhSq3AJ5eI5OnqOPBNLWSHKh2a30DoXe8/edit?usp=sharing"",""ระนอง!J153"")"),1)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IFERROR(__xludf.DUMMYFUNCTION("IMPORTRANGE(""https://docs.google.com/spreadsheets/d/1IYY_tgx_IHuhSq3AJ5eI5OnqOPBNLWSHKh2a30DoXe8/edit?usp=sharing"",""ระนอง!J154"")"),1)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IFERROR(__xludf.DUMMYFUNCTION("IMPORTRANGE(""https://docs.google.com/spreadsheets/d/1IYY_tgx_IHuhSq3AJ5eI5OnqOPBNLWSHKh2a30DoXe8/edit?usp=sharing"",""ระนอง!I155"")"),13)</f>
        <v>13</v>
      </c>
      <c r="J235" s="195">
        <f ca="1">IFERROR(__xludf.DUMMYFUNCTION("IMPORTRANGE(""https://docs.google.com/spreadsheets/d/1IYY_tgx_IHuhSq3AJ5eI5OnqOPBNLWSHKh2a30DoXe8/edit?usp=sharing"",""ระนอง!J155"")"),13)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IFERROR(__xludf.DUMMYFUNCTION("IMPORTRANGE(""https://docs.google.com/spreadsheets/d/1IYY_tgx_IHuhSq3AJ5eI5OnqOPBNLWSHKh2a30DoXe8/edit?usp=sharing"",""ระนอง!J156"")"),0)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IFERROR(__xludf.DUMMYFUNCTION("IMPORTRANGE(""https://docs.google.com/spreadsheets/d/1IYY_tgx_IHuhSq3AJ5eI5OnqOPBNLWSHKh2a30DoXe8/edit?usp=sharing"",""ระนอง!J157"")"),0)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IFERROR(__xludf.DUMMYFUNCTION("IMPORTRANGE(""https://docs.google.com/spreadsheets/d/1IYY_tgx_IHuhSq3AJ5eI5OnqOPBNLWSHKh2a30DoXe8/edit?usp=sharing"",""ระนอง!I158"")"),0)</f>
        <v>0</v>
      </c>
      <c r="J238" s="273">
        <f ca="1">IFERROR(__xludf.DUMMYFUNCTION("IMPORTRANGE(""https://docs.google.com/spreadsheets/d/1IYY_tgx_IHuhSq3AJ5eI5OnqOPBNLWSHKh2a30DoXe8/edit?usp=sharing"",""ระนอง!J158"")"),0)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IFERROR(__xludf.DUMMYFUNCTION("IMPORTRANGE(""https://docs.google.com/spreadsheets/d/1IYY_tgx_IHuhSq3AJ5eI5OnqOPBNLWSHKh2a30DoXe8/edit?usp=sharing"",""ระนอง!J159"")"),"")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IFERROR(__xludf.DUMMYFUNCTION("IMPORTRANGE(""https://docs.google.com/spreadsheets/d/1IYY_tgx_IHuhSq3AJ5eI5OnqOPBNLWSHKh2a30DoXe8/edit?usp=sharing"",""ระนอง!J161"")"),0)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IFERROR(__xludf.DUMMYFUNCTION("IMPORTRANGE(""https://docs.google.com/spreadsheets/d/1IYY_tgx_IHuhSq3AJ5eI5OnqOPBNLWSHKh2a30DoXe8/edit?usp=sharing"",""ระนอง!J162"")"),0)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IFERROR(__xludf.DUMMYFUNCTION("IMPORTRANGE(""https://docs.google.com/spreadsheets/d/1IYY_tgx_IHuhSq3AJ5eI5OnqOPBNLWSHKh2a30DoXe8/edit?usp=sharing"",""ระนอง!J163"")"),0)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IFERROR(__xludf.DUMMYFUNCTION("IMPORTRANGE(""https://docs.google.com/spreadsheets/d/1IYY_tgx_IHuhSq3AJ5eI5OnqOPBNLWSHKh2a30DoXe8/edit?usp=sharing"",""ระนอง!I164"")"),0)</f>
        <v>0</v>
      </c>
      <c r="J244" s="194">
        <f ca="1">IFERROR(__xludf.DUMMYFUNCTION("IMPORTRANGE(""https://docs.google.com/spreadsheets/d/1IYY_tgx_IHuhSq3AJ5eI5OnqOPBNLWSHKh2a30DoXe8/edit?usp=sharing"",""ระนอง!J164"")"),0)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IFERROR(__xludf.DUMMYFUNCTION("IMPORTRANGE(""https://docs.google.com/spreadsheets/d/1IYY_tgx_IHuhSq3AJ5eI5OnqOPBNLWSHKh2a30DoXe8/edit?usp=sharing"",""ระนอง!J165"")"),0)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IFERROR(__xludf.DUMMYFUNCTION("IMPORTRANGE(""https://docs.google.com/spreadsheets/d/1Yj_ptqi66GCucihVvJfMjLAmec39IyEx_6qawtMGysU/edit?usp=sharing"",""สบก!CB91"")"),0)</f>
        <v>0</v>
      </c>
      <c r="N254" s="174">
        <f ca="1">IFERROR(__xludf.DUMMYFUNCTION("IMPORTRANGE(""https://docs.google.com/spreadsheets/d/1Yj_ptqi66GCucihVvJfMjLAmec39IyEx_6qawtMGysU/edit?usp=sharing"",""สบก!CC91"")"),0)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IFERROR(__xludf.DUMMYFUNCTION("IMPORTRANGE(""https://docs.google.com/spreadsheets/d/1IYY_tgx_IHuhSq3AJ5eI5OnqOPBNLWSHKh2a30DoXe8/edit?usp=sharing"",""ระนอง!J175"")"),0)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IFERROR(__xludf.DUMMYFUNCTION("IMPORTRANGE(""https://docs.google.com/spreadsheets/d/1IYY_tgx_IHuhSq3AJ5eI5OnqOPBNLWSHKh2a30DoXe8/edit?usp=sharing"",""ระนอง!J176"")"),0)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IFERROR(__xludf.DUMMYFUNCTION("IMPORTRANGE(""https://docs.google.com/spreadsheets/d/1IYY_tgx_IHuhSq3AJ5eI5OnqOPBNLWSHKh2a30DoXe8/edit?usp=sharing"",""ระนอง!J177"")"),0)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IFERROR(__xludf.DUMMYFUNCTION("IMPORTRANGE(""https://docs.google.com/spreadsheets/d/1IYY_tgx_IHuhSq3AJ5eI5OnqOPBNLWSHKh2a30DoXe8/edit?usp=sharing"",""ระนอง!J178"")"),0)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IFERROR(__xludf.DUMMYFUNCTION("IMPORTRANGE(""https://docs.google.com/spreadsheets/d/1IYY_tgx_IHuhSq3AJ5eI5OnqOPBNLWSHKh2a30DoXe8/edit?usp=sharing"",""ระนอง!I179"")"),0)</f>
        <v>0</v>
      </c>
      <c r="J264" s="195">
        <f ca="1">IFERROR(__xludf.DUMMYFUNCTION("IMPORTRANGE(""https://docs.google.com/spreadsheets/d/1IYY_tgx_IHuhSq3AJ5eI5OnqOPBNLWSHKh2a30DoXe8/edit?usp=sharing"",""ระนอง!J179"")"),0)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IFERROR(__xludf.DUMMYFUNCTION("IMPORTRANGE(""https://docs.google.com/spreadsheets/d/1IYY_tgx_IHuhSq3AJ5eI5OnqOPBNLWSHKh2a30DoXe8/edit?usp=sharing"",""ระนอง!I180"")"),0)</f>
        <v>0</v>
      </c>
      <c r="J265" s="195">
        <f ca="1">IFERROR(__xludf.DUMMYFUNCTION("IMPORTRANGE(""https://docs.google.com/spreadsheets/d/1IYY_tgx_IHuhSq3AJ5eI5OnqOPBNLWSHKh2a30DoXe8/edit?usp=sharing"",""ระนอง!J180"")"),0)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IFERROR(__xludf.DUMMYFUNCTION("IMPORTRANGE(""https://docs.google.com/spreadsheets/d/1IYY_tgx_IHuhSq3AJ5eI5OnqOPBNLWSHKh2a30DoXe8/edit?usp=sharing"",""ระนอง!I181"")"),0)</f>
        <v>0</v>
      </c>
      <c r="J266" s="195">
        <f ca="1">IFERROR(__xludf.DUMMYFUNCTION("IMPORTRANGE(""https://docs.google.com/spreadsheets/d/1IYY_tgx_IHuhSq3AJ5eI5OnqOPBNLWSHKh2a30DoXe8/edit?usp=sharing"",""ระนอง!J181"")"),0)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IFERROR(__xludf.DUMMYFUNCTION("IMPORTRANGE(""https://docs.google.com/spreadsheets/d/1IYY_tgx_IHuhSq3AJ5eI5OnqOPBNLWSHKh2a30DoXe8/edit?usp=sharing"",""ระนอง!I182"")"),0)</f>
        <v>0</v>
      </c>
      <c r="J267" s="195">
        <f ca="1">IFERROR(__xludf.DUMMYFUNCTION("IMPORTRANGE(""https://docs.google.com/spreadsheets/d/1IYY_tgx_IHuhSq3AJ5eI5OnqOPBNLWSHKh2a30DoXe8/edit?usp=sharing"",""ระนอง!J182"")"),0)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IFERROR(__xludf.DUMMYFUNCTION("IMPORTRANGE(""https://docs.google.com/spreadsheets/d/1IYY_tgx_IHuhSq3AJ5eI5OnqOPBNLWSHKh2a30DoXe8/edit?usp=sharing"",""ระนอง!J183"")"),0)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IFERROR(__xludf.DUMMYFUNCTION("IMPORTRANGE(""https://docs.google.com/spreadsheets/d/1Yj_ptqi66GCucihVvJfMjLAmec39IyEx_6qawtMGysU/edit?usp=sharing"",""สบก!CK91"")"),0)</f>
        <v>0</v>
      </c>
      <c r="N275" s="174">
        <f ca="1">IFERROR(__xludf.DUMMYFUNCTION("IMPORTRANGE(""https://docs.google.com/spreadsheets/d/1Yj_ptqi66GCucihVvJfMjLAmec39IyEx_6qawtMGysU/edit?usp=sharing"",""สบก!CL91"")"),0)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IFERROR(__xludf.DUMMYFUNCTION("IMPORTRANGE(""https://docs.google.com/spreadsheets/d/1IYY_tgx_IHuhSq3AJ5eI5OnqOPBNLWSHKh2a30DoXe8/edit?usp=sharing"",""ระนอง!J191"")"),0)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IFERROR(__xludf.DUMMYFUNCTION("IMPORTRANGE(""https://docs.google.com/spreadsheets/d/1IYY_tgx_IHuhSq3AJ5eI5OnqOPBNLWSHKh2a30DoXe8/edit?usp=sharing"",""ระนอง!J192"")"),0)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IFERROR(__xludf.DUMMYFUNCTION("IMPORTRANGE(""https://docs.google.com/spreadsheets/d/1IYY_tgx_IHuhSq3AJ5eI5OnqOPBNLWSHKh2a30DoXe8/edit?usp=sharing"",""ระนอง!J193"")"),0)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IFERROR(__xludf.DUMMYFUNCTION("IMPORTRANGE(""https://docs.google.com/spreadsheets/d/1IYY_tgx_IHuhSq3AJ5eI5OnqOPBNLWSHKh2a30DoXe8/edit?usp=sharing"",""ระนอง!J194"")"),0)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IFERROR(__xludf.DUMMYFUNCTION("IMPORTRANGE(""https://docs.google.com/spreadsheets/d/1IYY_tgx_IHuhSq3AJ5eI5OnqOPBNLWSHKh2a30DoXe8/edit?usp=sharing"",""ระนอง!I195"")"),0)</f>
        <v>0</v>
      </c>
      <c r="J285" s="195">
        <f ca="1">IFERROR(__xludf.DUMMYFUNCTION("IMPORTRANGE(""https://docs.google.com/spreadsheets/d/1IYY_tgx_IHuhSq3AJ5eI5OnqOPBNLWSHKh2a30DoXe8/edit?usp=sharing"",""ระนอง!J195"")"),0)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IFERROR(__xludf.DUMMYFUNCTION("IMPORTRANGE(""https://docs.google.com/spreadsheets/d/1IYY_tgx_IHuhSq3AJ5eI5OnqOPBNLWSHKh2a30DoXe8/edit?usp=sharing"",""ระนอง!J196"")"),0)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IFERROR(__xludf.DUMMYFUNCTION("IMPORTRANGE(""https://docs.google.com/spreadsheets/d/1IYY_tgx_IHuhSq3AJ5eI5OnqOPBNLWSHKh2a30DoXe8/edit?usp=sharing"",""ระนอง!J197"")"),0)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IFERROR(__xludf.DUMMYFUNCTION("IMPORTRANGE(""https://docs.google.com/spreadsheets/d/1Yj_ptqi66GCucihVvJfMjLAmec39IyEx_6qawtMGysU/edit?usp=sharing"",""สบก!CT91"")"),0)</f>
        <v>0</v>
      </c>
      <c r="N294" s="174">
        <f ca="1">IFERROR(__xludf.DUMMYFUNCTION("IMPORTRANGE(""https://docs.google.com/spreadsheets/d/1Yj_ptqi66GCucihVvJfMjLAmec39IyEx_6qawtMGysU/edit?usp=sharing"",""สบก!CU91"")"),0)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IFERROR(__xludf.DUMMYFUNCTION("IMPORTRANGE(""https://docs.google.com/spreadsheets/d/1Yj_ptqi66GCucihVvJfMjLAmec39IyEx_6qawtMGysU/edit?usp=sharing"",""สบก!CQ91"")"),0)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IFERROR(__xludf.DUMMYFUNCTION("IMPORTRANGE(""https://docs.google.com/spreadsheets/d/1IYY_tgx_IHuhSq3AJ5eI5OnqOPBNLWSHKh2a30DoXe8/edit?usp=sharing"",""ระนอง!J205"")"),0)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IFERROR(__xludf.DUMMYFUNCTION("IMPORTRANGE(""https://docs.google.com/spreadsheets/d/1IYY_tgx_IHuhSq3AJ5eI5OnqOPBNLWSHKh2a30DoXe8/edit?usp=sharing"",""ระนอง!J206"")"),0)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IFERROR(__xludf.DUMMYFUNCTION("IMPORTRANGE(""https://docs.google.com/spreadsheets/d/1IYY_tgx_IHuhSq3AJ5eI5OnqOPBNLWSHKh2a30DoXe8/edit?usp=sharing"",""ระนอง!J207"")"),0)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IFERROR(__xludf.DUMMYFUNCTION("IMPORTRANGE(""https://docs.google.com/spreadsheets/d/1IYY_tgx_IHuhSq3AJ5eI5OnqOPBNLWSHKh2a30DoXe8/edit?usp=sharing"",""ระนอง!J208"")"),0)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IFERROR(__xludf.DUMMYFUNCTION("IMPORTRANGE(""https://docs.google.com/spreadsheets/d/1IYY_tgx_IHuhSq3AJ5eI5OnqOPBNLWSHKh2a30DoXe8/edit?usp=sharing"",""ระนอง!I209"")"),0)</f>
        <v>0</v>
      </c>
      <c r="J304" s="210">
        <f ca="1">IFERROR(__xludf.DUMMYFUNCTION("IMPORTRANGE(""https://docs.google.com/spreadsheets/d/1IYY_tgx_IHuhSq3AJ5eI5OnqOPBNLWSHKh2a30DoXe8/edit?usp=sharing"",""ระนอง!J209"")"),0)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IFERROR(__xludf.DUMMYFUNCTION("IMPORTRANGE(""https://docs.google.com/spreadsheets/d/1IYY_tgx_IHuhSq3AJ5eI5OnqOPBNLWSHKh2a30DoXe8/edit?usp=sharing"",""ระนอง!I211"")"),0)</f>
        <v>0</v>
      </c>
      <c r="J306" s="210">
        <f ca="1">IFERROR(__xludf.DUMMYFUNCTION("IMPORTRANGE(""https://docs.google.com/spreadsheets/d/1IYY_tgx_IHuhSq3AJ5eI5OnqOPBNLWSHKh2a30DoXe8/edit?usp=sharing"",""ระนอง!J211"")"),0)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IFERROR(__xludf.DUMMYFUNCTION("IMPORTRANGE(""https://docs.google.com/spreadsheets/d/1IYY_tgx_IHuhSq3AJ5eI5OnqOPBNLWSHKh2a30DoXe8/edit?usp=sharing"",""ระนอง!J212"")"),0)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IFERROR(__xludf.DUMMYFUNCTION("IMPORTRANGE(""https://docs.google.com/spreadsheets/d/1Yj_ptqi66GCucihVvJfMjLAmec39IyEx_6qawtMGysU/edit?usp=sharing"",""สบก!DC91"")"),0)</f>
        <v>0</v>
      </c>
      <c r="N314" s="174">
        <f ca="1">IFERROR(__xludf.DUMMYFUNCTION("IMPORTRANGE(""https://docs.google.com/spreadsheets/d/1Yj_ptqi66GCucihVvJfMjLAmec39IyEx_6qawtMGysU/edit?usp=sharing"",""สบก!DD91"")"),0)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IFERROR(__xludf.DUMMYFUNCTION("IMPORTRANGE(""https://docs.google.com/spreadsheets/d/1Yj_ptqi66GCucihVvJfMjLAmec39IyEx_6qawtMGysU/edit?usp=sharing"",""สบก!CZ91"")"),0)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IFERROR(__xludf.DUMMYFUNCTION("IMPORTRANGE(""https://docs.google.com/spreadsheets/d/1IYY_tgx_IHuhSq3AJ5eI5OnqOPBNLWSHKh2a30DoXe8/edit?usp=sharing"",""ระนอง!J220"")"),0)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IFERROR(__xludf.DUMMYFUNCTION("IMPORTRANGE(""https://docs.google.com/spreadsheets/d/1IYY_tgx_IHuhSq3AJ5eI5OnqOPBNLWSHKh2a30DoXe8/edit?usp=sharing"",""ระนอง!J221"")"),0)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IFERROR(__xludf.DUMMYFUNCTION("IMPORTRANGE(""https://docs.google.com/spreadsheets/d/1IYY_tgx_IHuhSq3AJ5eI5OnqOPBNLWSHKh2a30DoXe8/edit?usp=sharing"",""ระนอง!J222"")"),0)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IFERROR(__xludf.DUMMYFUNCTION("IMPORTRANGE(""https://docs.google.com/spreadsheets/d/1IYY_tgx_IHuhSq3AJ5eI5OnqOPBNLWSHKh2a30DoXe8/edit?usp=sharing"",""ระนอง!J223"")"),0)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IFERROR(__xludf.DUMMYFUNCTION("IMPORTRANGE(""https://docs.google.com/spreadsheets/d/1IYY_tgx_IHuhSq3AJ5eI5OnqOPBNLWSHKh2a30DoXe8/edit?usp=sharing"",""ระนอง!I224"")"),0)</f>
        <v>0</v>
      </c>
      <c r="J324" s="210">
        <f ca="1">IFERROR(__xludf.DUMMYFUNCTION("IMPORTRANGE(""https://docs.google.com/spreadsheets/d/1IYY_tgx_IHuhSq3AJ5eI5OnqOPBNLWSHKh2a30DoXe8/edit?usp=sharing"",""ระนอง!J224"")"),0)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IFERROR(__xludf.DUMMYFUNCTION("IMPORTRANGE(""https://docs.google.com/spreadsheets/d/1IYY_tgx_IHuhSq3AJ5eI5OnqOPBNLWSHKh2a30DoXe8/edit?usp=sharing"",""ระนอง!J225"")"),0)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IFERROR(__xludf.DUMMYFUNCTION("IMPORTRANGE(""https://docs.google.com/spreadsheets/d/1IYY_tgx_IHuhSq3AJ5eI5OnqOPBNLWSHKh2a30DoXe8/edit?usp=sharing"",""ระนอง!J226"")"),0)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IFERROR(__xludf.DUMMYFUNCTION("IMPORTRANGE(""https://docs.google.com/spreadsheets/d/1IYY_tgx_IHuhSq3AJ5eI5OnqOPBNLWSHKh2a30DoXe8/edit?usp=sharing"",""ระนอง!J228"")"),73)</f>
        <v>73</v>
      </c>
      <c r="K328" s="323">
        <f ca="1">IF(I328&gt;0,J328*100/I328,0)</f>
        <v>97.333333333333329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1029350</v>
      </c>
      <c r="M329" s="156">
        <f t="shared" ca="1" si="98"/>
        <v>1064750</v>
      </c>
      <c r="N329" s="156">
        <f t="shared" ca="1" si="98"/>
        <v>812227.01</v>
      </c>
      <c r="O329" s="155">
        <f t="shared" ref="O329:O331" ca="1" si="99">IF(L329&gt;0,N329*100/L329,0)</f>
        <v>78.906786807208434</v>
      </c>
      <c r="P329" s="155">
        <f t="shared" ref="P329:P331" ca="1" si="100">IF(M329&gt;0,N329*100/M329,0)</f>
        <v>76.28335383892933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1029350</v>
      </c>
      <c r="M331" s="161">
        <f t="shared" ca="1" si="102"/>
        <v>1064750</v>
      </c>
      <c r="N331" s="161">
        <f t="shared" ca="1" si="102"/>
        <v>812227.01</v>
      </c>
      <c r="O331" s="160">
        <f t="shared" ca="1" si="99"/>
        <v>78.906786807208434</v>
      </c>
      <c r="P331" s="160">
        <f t="shared" ca="1" si="100"/>
        <v>76.28335383892933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1029350</v>
      </c>
      <c r="M333" s="173">
        <f ca="1">IFERROR(__xludf.DUMMYFUNCTION("IMPORTRANGE(""https://docs.google.com/spreadsheets/d/1Yj_ptqi66GCucihVvJfMjLAmec39IyEx_6qawtMGysU/edit?usp=sharing"",""สบก!DL91"")"),1064750)</f>
        <v>1064750</v>
      </c>
      <c r="N333" s="174">
        <f ca="1">IFERROR(__xludf.DUMMYFUNCTION("IMPORTRANGE(""https://docs.google.com/spreadsheets/d/1Yj_ptqi66GCucihVvJfMjLAmec39IyEx_6qawtMGysU/edit?usp=sharing"",""สบก!DM91"")"),812227.01)</f>
        <v>812227.01</v>
      </c>
      <c r="O333" s="175">
        <f ca="1">IF(L333&gt;0,N333*100/L333,0)</f>
        <v>78.906786807208434</v>
      </c>
      <c r="P333" s="175">
        <f ca="1">IF(M333&gt;0,N333*100/M333,0)</f>
        <v>76.28335383892933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IFERROR(__xludf.DUMMYFUNCTION("IMPORTRANGE(""https://docs.google.com/spreadsheets/d/1Yj_ptqi66GCucihVvJfMjLAmec39IyEx_6qawtMGysU/edit?usp=sharing"",""สบก!DH91"")"),777000)</f>
        <v>777000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IFERROR(__xludf.DUMMYFUNCTION("IMPORTRANGE(""https://docs.google.com/spreadsheets/d/1Yj_ptqi66GCucihVvJfMjLAmec39IyEx_6qawtMGysU/edit?usp=sharing"",""สบก!DI91"")"),252350)</f>
        <v>252350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IFERROR(__xludf.DUMMYFUNCTION("IMPORTRANGE(""https://docs.google.com/spreadsheets/d/1IYY_tgx_IHuhSq3AJ5eI5OnqOPBNLWSHKh2a30DoXe8/edit?usp=sharing"",""ระนอง!I234"")"),0)</f>
        <v>0</v>
      </c>
      <c r="J339" s="194">
        <f ca="1">IFERROR(__xludf.DUMMYFUNCTION("IMPORTRANGE(""https://docs.google.com/spreadsheets/d/1IYY_tgx_IHuhSq3AJ5eI5OnqOPBNLWSHKh2a30DoXe8/edit?usp=sharing"",""ระนอง!J234"")"),87)</f>
        <v>87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IFERROR(__xludf.DUMMYFUNCTION("IMPORTRANGE(""https://docs.google.com/spreadsheets/d/1IYY_tgx_IHuhSq3AJ5eI5OnqOPBNLWSHKh2a30DoXe8/edit?usp=sharing"",""ระนอง!I235"")"),540)</f>
        <v>540</v>
      </c>
      <c r="J340" s="194">
        <f ca="1">IFERROR(__xludf.DUMMYFUNCTION("IMPORTRANGE(""https://docs.google.com/spreadsheets/d/1IYY_tgx_IHuhSq3AJ5eI5OnqOPBNLWSHKh2a30DoXe8/edit?usp=sharing"",""ระนอง!J235"")"),673.13)</f>
        <v>673.13</v>
      </c>
      <c r="K340" s="348">
        <f t="shared" ca="1" si="103"/>
        <v>124.6537037037037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IFERROR(__xludf.DUMMYFUNCTION("IMPORTRANGE(""https://docs.google.com/spreadsheets/d/1IYY_tgx_IHuhSq3AJ5eI5OnqOPBNLWSHKh2a30DoXe8/edit?usp=sharing"",""ระนอง!I236"")"),75)</f>
        <v>75</v>
      </c>
      <c r="J341" s="194">
        <f ca="1">IFERROR(__xludf.DUMMYFUNCTION("IMPORTRANGE(""https://docs.google.com/spreadsheets/d/1IYY_tgx_IHuhSq3AJ5eI5OnqOPBNLWSHKh2a30DoXe8/edit?usp=sharing"",""ระนอง!J236"")"),87)</f>
        <v>87</v>
      </c>
      <c r="K341" s="348">
        <f t="shared" ca="1" si="103"/>
        <v>116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4">
        <f ca="1">IFERROR(__xludf.DUMMYFUNCTION("IMPORTRANGE(""https://docs.google.com/spreadsheets/d/1IYY_tgx_IHuhSq3AJ5eI5OnqOPBNLWSHKh2a30DoXe8/edit?usp=sharing"",""ระนอง!J237"")"),900.74)</f>
        <v>900.74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IFERROR(__xludf.DUMMYFUNCTION("IMPORTRANGE(""https://docs.google.com/spreadsheets/d/1IYY_tgx_IHuhSq3AJ5eI5OnqOPBNLWSHKh2a30DoXe8/edit?usp=sharing"",""ระนอง!I238"")"),75)</f>
        <v>75</v>
      </c>
      <c r="J343" s="194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4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IFERROR(__xludf.DUMMYFUNCTION("IMPORTRANGE(""https://docs.google.com/spreadsheets/d/1IYY_tgx_IHuhSq3AJ5eI5OnqOPBNLWSHKh2a30DoXe8/edit?usp=sharing"",""ระนอง!I240"")"),75)</f>
        <v>75</v>
      </c>
      <c r="J345" s="194">
        <f ca="1">IFERROR(__xludf.DUMMYFUNCTION("IMPORTRANGE(""https://docs.google.com/spreadsheets/d/1IYY_tgx_IHuhSq3AJ5eI5OnqOPBNLWSHKh2a30DoXe8/edit?usp=sharing"",""ระนอง!J240"")"),73)</f>
        <v>73</v>
      </c>
      <c r="K345" s="348">
        <f t="shared" ca="1" si="103"/>
        <v>97.333333333333329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4">
        <f ca="1">IFERROR(__xludf.DUMMYFUNCTION("IMPORTRANGE(""https://docs.google.com/spreadsheets/d/1IYY_tgx_IHuhSq3AJ5eI5OnqOPBNLWSHKh2a30DoXe8/edit?usp=sharing"",""ระนอง!J241"")"),700.199999999999)</f>
        <v>700.19999999999902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IFERROR(__xludf.DUMMYFUNCTION("IMPORTRANGE(""https://docs.google.com/spreadsheets/d/1IYY_tgx_IHuhSq3AJ5eI5OnqOPBNLWSHKh2a30DoXe8/edit?usp=sharing"",""ระนอง!L242"")"),1568127)</f>
        <v>1568127</v>
      </c>
      <c r="M347" s="364"/>
      <c r="N347" s="364">
        <f ca="1">IFERROR(__xludf.DUMMYFUNCTION("IMPORTRANGE(""https://docs.google.com/spreadsheets/d/1IYY_tgx_IHuhSq3AJ5eI5OnqOPBNLWSHKh2a30DoXe8/edit?usp=sharing"",""ระนอง!M242"")"),979224)</f>
        <v>979224</v>
      </c>
      <c r="O347" s="364">
        <f ca="1">+IF(L347&gt;0,N347*100/L347,0)</f>
        <v>62.445452441033154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IFERROR(__xludf.DUMMYFUNCTION("IMPORTRANGE(""https://docs.google.com/spreadsheets/d/1IYY_tgx_IHuhSq3AJ5eI5OnqOPBNLWSHKh2a30DoXe8/edit?usp=sharing"",""ระนอง!L244"")"),65120)</f>
        <v>65120</v>
      </c>
      <c r="M349" s="379"/>
      <c r="N349" s="379">
        <f ca="1">IFERROR(__xludf.DUMMYFUNCTION("IMPORTRANGE(""https://docs.google.com/spreadsheets/d/1IYY_tgx_IHuhSq3AJ5eI5OnqOPBNLWSHKh2a30DoXe8/edit?usp=sharing"",""ระนอง!M244"")"),56330)</f>
        <v>56330</v>
      </c>
      <c r="O349" s="379">
        <f ca="1">+IF(L349&gt;0,N349*100/L349,0)</f>
        <v>86.501842751842759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IFERROR(__xludf.DUMMYFUNCTION("IMPORTRANGE(""https://docs.google.com/spreadsheets/d/1IYY_tgx_IHuhSq3AJ5eI5OnqOPBNLWSHKh2a30DoXe8/edit?usp=sharing"",""ระนอง!L246"")"),0)</f>
        <v>0</v>
      </c>
      <c r="M351" s="168"/>
      <c r="N351" s="168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IFERROR(__xludf.DUMMYFUNCTION("IMPORTRANGE(""https://docs.google.com/spreadsheets/d/1IYY_tgx_IHuhSq3AJ5eI5OnqOPBNLWSHKh2a30DoXe8/edit?usp=sharing"",""ระนอง!L247"")"),65120)</f>
        <v>65120</v>
      </c>
      <c r="M352" s="169"/>
      <c r="N352" s="168">
        <f ca="1">IFERROR(__xludf.DUMMYFUNCTION("IMPORTRANGE(""https://docs.google.com/spreadsheets/d/1IYY_tgx_IHuhSq3AJ5eI5OnqOPBNLWSHKh2a30DoXe8/edit?usp=sharing"",""ระนอง!M247"")"),56330)</f>
        <v>56330</v>
      </c>
      <c r="O352" s="169">
        <f t="shared" ca="1" si="105"/>
        <v>86.501842751842759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IFERROR(__xludf.DUMMYFUNCTION("IMPORTRANGE(""https://docs.google.com/spreadsheets/d/1IYY_tgx_IHuhSq3AJ5eI5OnqOPBNLWSHKh2a30DoXe8/edit?usp=sharing"",""ระนอง!L248"")"),0)</f>
        <v>0</v>
      </c>
      <c r="M353" s="175"/>
      <c r="N353" s="175">
        <f ca="1">IFERROR(__xludf.DUMMYFUNCTION("IMPORTRANGE(""https://docs.google.com/spreadsheets/d/1IYY_tgx_IHuhSq3AJ5eI5OnqOPBNLWSHKh2a30DoXe8/edit?usp=sharing"",""ระนอง!M248"")"),0)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IFERROR(__xludf.DUMMYFUNCTION("IMPORTRANGE(""https://docs.google.com/spreadsheets/d/1IYY_tgx_IHuhSq3AJ5eI5OnqOPBNLWSHKh2a30DoXe8/edit?usp=sharing"",""ระนอง!L249"")"),65120)</f>
        <v>65120</v>
      </c>
      <c r="M354" s="175"/>
      <c r="N354" s="172">
        <f ca="1">IFERROR(__xludf.DUMMYFUNCTION("IMPORTRANGE(""https://docs.google.com/spreadsheets/d/1IYY_tgx_IHuhSq3AJ5eI5OnqOPBNLWSHKh2a30DoXe8/edit?usp=sharing"",""ระนอง!M249"")"),56330)</f>
        <v>56330</v>
      </c>
      <c r="O354" s="175">
        <f t="shared" ca="1" si="105"/>
        <v>86.501842751842759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IFERROR(__xludf.DUMMYFUNCTION("IMPORTRANGE(""https://docs.google.com/spreadsheets/d/1IYY_tgx_IHuhSq3AJ5eI5OnqOPBNLWSHKh2a30DoXe8/edit?usp=sharing"",""ระนอง!M253"")"),9630)</f>
        <v>9630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IFERROR(__xludf.DUMMYFUNCTION("IMPORTRANGE(""https://docs.google.com/spreadsheets/d/1IYY_tgx_IHuhSq3AJ5eI5OnqOPBNLWSHKh2a30DoXe8/edit?usp=sharing"",""ระนอง!J255"")"),0)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IFERROR(__xludf.DUMMYFUNCTION("IMPORTRANGE(""https://docs.google.com/spreadsheets/d/1IYY_tgx_IHuhSq3AJ5eI5OnqOPBNLWSHKh2a30DoXe8/edit?usp=sharing"",""ระนอง!J256"")"),1)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IFERROR(__xludf.DUMMYFUNCTION("IMPORTRANGE(""https://docs.google.com/spreadsheets/d/1IYY_tgx_IHuhSq3AJ5eI5OnqOPBNLWSHKh2a30DoXe8/edit?usp=sharing"",""ระนอง!J257"")"),1)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IFERROR(__xludf.DUMMYFUNCTION("IMPORTRANGE(""https://docs.google.com/spreadsheets/d/1IYY_tgx_IHuhSq3AJ5eI5OnqOPBNLWSHKh2a30DoXe8/edit?usp=sharing"",""ระนอง!J258"")"),1)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IFERROR(__xludf.DUMMYFUNCTION("IMPORTRANGE(""https://docs.google.com/spreadsheets/d/1IYY_tgx_IHuhSq3AJ5eI5OnqOPBNLWSHKh2a30DoXe8/edit?usp=sharing"",""ระนอง!J166"")"),0)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IFERROR(__xludf.DUMMYFUNCTION("IMPORTRANGE(""https://docs.google.com/spreadsheets/d/1IYY_tgx_IHuhSq3AJ5eI5OnqOPBNLWSHKh2a30DoXe8/edit?usp=sharing"",""ระนอง!J166"")"),0)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IFERROR(__xludf.DUMMYFUNCTION("IMPORTRANGE(""https://docs.google.com/spreadsheets/d/1IYY_tgx_IHuhSq3AJ5eI5OnqOPBNLWSHKh2a30DoXe8/edit?usp=sharing"",""ระนอง!J166"")"),0)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IFERROR(__xludf.DUMMYFUNCTION("IMPORTRANGE(""https://docs.google.com/spreadsheets/d/1IYY_tgx_IHuhSq3AJ5eI5OnqOPBNLWSHKh2a30DoXe8/edit?usp=sharing"",""ระนอง!J166"")"),0)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IFERROR(__xludf.DUMMYFUNCTION("IMPORTRANGE(""https://docs.google.com/spreadsheets/d/1IYY_tgx_IHuhSq3AJ5eI5OnqOPBNLWSHKh2a30DoXe8/edit?usp=sharing"",""ระนอง!I263"")"),20)</f>
        <v>20</v>
      </c>
      <c r="J368" s="194">
        <f ca="1">IFERROR(__xludf.DUMMYFUNCTION("IMPORTRANGE(""https://docs.google.com/spreadsheets/d/1IYY_tgx_IHuhSq3AJ5eI5OnqOPBNLWSHKh2a30DoXe8/edit?usp=sharing"",""ระนอง!J263"")"),20)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IFERROR(__xludf.DUMMYFUNCTION("IMPORTRANGE(""https://docs.google.com/spreadsheets/d/1IYY_tgx_IHuhSq3AJ5eI5OnqOPBNLWSHKh2a30DoXe8/edit?usp=sharing"",""ระนอง!I164"")"),0)</f>
        <v>0</v>
      </c>
      <c r="J369" s="210">
        <f ca="1">IFERROR(__xludf.DUMMYFUNCTION("IMPORTRANGE(""https://docs.google.com/spreadsheets/d/1IYY_tgx_IHuhSq3AJ5eI5OnqOPBNLWSHKh2a30DoXe8/edit?usp=sharing"",""ระนอง!J164"")"),0)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IFERROR(__xludf.DUMMYFUNCTION("IMPORTRANGE(""https://docs.google.com/spreadsheets/d/1IYY_tgx_IHuhSq3AJ5eI5OnqOPBNLWSHKh2a30DoXe8/edit?usp=sharing"",""ระนอง!I265"")"),20)</f>
        <v>20</v>
      </c>
      <c r="J370" s="210">
        <f ca="1">IFERROR(__xludf.DUMMYFUNCTION("IMPORTRANGE(""https://docs.google.com/spreadsheets/d/1IYY_tgx_IHuhSq3AJ5eI5OnqOPBNLWSHKh2a30DoXe8/edit?usp=sharing"",""ระนอง!J265"")"),20)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IFERROR(__xludf.DUMMYFUNCTION("IMPORTRANGE(""https://docs.google.com/spreadsheets/d/1IYY_tgx_IHuhSq3AJ5eI5OnqOPBNLWSHKh2a30DoXe8/edit?usp=sharing"",""ระนอง!I164"")"),0)</f>
        <v>0</v>
      </c>
      <c r="J371" s="195">
        <f ca="1">IFERROR(__xludf.DUMMYFUNCTION("IMPORTRANGE(""https://docs.google.com/spreadsheets/d/1IYY_tgx_IHuhSq3AJ5eI5OnqOPBNLWSHKh2a30DoXe8/edit?usp=sharing"",""ระนอง!J164"")"),0)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IFERROR(__xludf.DUMMYFUNCTION("IMPORTRANGE(""https://docs.google.com/spreadsheets/d/1IYY_tgx_IHuhSq3AJ5eI5OnqOPBNLWSHKh2a30DoXe8/edit?usp=sharing"",""ระนอง!I267"")"),20)</f>
        <v>20</v>
      </c>
      <c r="J372" s="195">
        <f ca="1">IFERROR(__xludf.DUMMYFUNCTION("IMPORTRANGE(""https://docs.google.com/spreadsheets/d/1IYY_tgx_IHuhSq3AJ5eI5OnqOPBNLWSHKh2a30DoXe8/edit?usp=sharing"",""ระนอง!J267"")"),20)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IFERROR(__xludf.DUMMYFUNCTION("IMPORTRANGE(""https://docs.google.com/spreadsheets/d/1IYY_tgx_IHuhSq3AJ5eI5OnqOPBNLWSHKh2a30DoXe8/edit?usp=sharing"",""ระนอง!I164"")"),0)</f>
        <v>0</v>
      </c>
      <c r="J373" s="210">
        <f ca="1">IFERROR(__xludf.DUMMYFUNCTION("IMPORTRANGE(""https://docs.google.com/spreadsheets/d/1IYY_tgx_IHuhSq3AJ5eI5OnqOPBNLWSHKh2a30DoXe8/edit?usp=sharing"",""ระนอง!J164"")"),0)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IFERROR(__xludf.DUMMYFUNCTION("IMPORTRANGE(""https://docs.google.com/spreadsheets/d/1IYY_tgx_IHuhSq3AJ5eI5OnqOPBNLWSHKh2a30DoXe8/edit?usp=sharing"",""ระนอง!I164"")"),0)</f>
        <v>0</v>
      </c>
      <c r="J374" s="194">
        <f ca="1">IFERROR(__xludf.DUMMYFUNCTION("IMPORTRANGE(""https://docs.google.com/spreadsheets/d/1IYY_tgx_IHuhSq3AJ5eI5OnqOPBNLWSHKh2a30DoXe8/edit?usp=sharing"",""ระนอง!J164"")"),0)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IFERROR(__xludf.DUMMYFUNCTION("IMPORTRANGE(""https://docs.google.com/spreadsheets/d/1IYY_tgx_IHuhSq3AJ5eI5OnqOPBNLWSHKh2a30DoXe8/edit?usp=sharing"",""ระนอง!I270"")"),20)</f>
        <v>20</v>
      </c>
      <c r="J375" s="194">
        <f ca="1">IFERROR(__xludf.DUMMYFUNCTION("IMPORTRANGE(""https://docs.google.com/spreadsheets/d/1IYY_tgx_IHuhSq3AJ5eI5OnqOPBNLWSHKh2a30DoXe8/edit?usp=sharing"",""ระนอง!J270"")"),20)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IFERROR(__xludf.DUMMYFUNCTION("IMPORTRANGE(""https://docs.google.com/spreadsheets/d/1IYY_tgx_IHuhSq3AJ5eI5OnqOPBNLWSHKh2a30DoXe8/edit?usp=sharing"",""ระนอง!I271"")"),0)</f>
        <v>0</v>
      </c>
      <c r="J376" s="195">
        <f ca="1">IFERROR(__xludf.DUMMYFUNCTION("IMPORTRANGE(""https://docs.google.com/spreadsheets/d/1IYY_tgx_IHuhSq3AJ5eI5OnqOPBNLWSHKh2a30DoXe8/edit?usp=sharing"",""ระนอง!J271"")"),0)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IFERROR(__xludf.DUMMYFUNCTION("IMPORTRANGE(""https://docs.google.com/spreadsheets/d/1IYY_tgx_IHuhSq3AJ5eI5OnqOPBNLWSHKh2a30DoXe8/edit?usp=sharing"",""ระนอง!I272"")"),20)</f>
        <v>20</v>
      </c>
      <c r="J377" s="210">
        <f ca="1">IFERROR(__xludf.DUMMYFUNCTION("IMPORTRANGE(""https://docs.google.com/spreadsheets/d/1IYY_tgx_IHuhSq3AJ5eI5OnqOPBNLWSHKh2a30DoXe8/edit?usp=sharing"",""ระนอง!J272"")"),20)</f>
        <v>20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IFERROR(__xludf.DUMMYFUNCTION("IMPORTRANGE(""https://docs.google.com/spreadsheets/d/1IYY_tgx_IHuhSq3AJ5eI5OnqOPBNLWSHKh2a30DoXe8/edit?usp=sharing"",""ระนอง!J273"")"),0)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IFERROR(__xludf.DUMMYFUNCTION("IMPORTRANGE(""https://docs.google.com/spreadsheets/d/1IYY_tgx_IHuhSq3AJ5eI5OnqOPBNLWSHKh2a30DoXe8/edit?usp=sharing"",""ระนอง!J274"")"),0)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IFERROR(__xludf.DUMMYFUNCTION("IMPORTRANGE(""https://docs.google.com/spreadsheets/d/1IYY_tgx_IHuhSq3AJ5eI5OnqOPBNLWSHKh2a30DoXe8/edit?usp=sharing"",""ระนอง!M275"")"),642482)</f>
        <v>642482</v>
      </c>
      <c r="O380" s="379">
        <f ca="1">+IF(L380&gt;0,N380*100/L380,0)</f>
        <v>62.466651110333295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IFERROR(__xludf.DUMMYFUNCTION("IMPORTRANGE(""https://docs.google.com/spreadsheets/d/1IYY_tgx_IHuhSq3AJ5eI5OnqOPBNLWSHKh2a30DoXe8/edit?usp=sharing"",""ระนอง!L277"")"),0)</f>
        <v>0</v>
      </c>
      <c r="M382" s="168"/>
      <c r="N382" s="168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IFERROR(__xludf.DUMMYFUNCTION("IMPORTRANGE(""https://docs.google.com/spreadsheets/d/1IYY_tgx_IHuhSq3AJ5eI5OnqOPBNLWSHKh2a30DoXe8/edit?usp=sharing"",""ระนอง!M278"")"),642482)</f>
        <v>642482</v>
      </c>
      <c r="O383" s="169">
        <f t="shared" ca="1" si="109"/>
        <v>62.466651110333295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IFERROR(__xludf.DUMMYFUNCTION("IMPORTRANGE(""https://docs.google.com/spreadsheets/d/1IYY_tgx_IHuhSq3AJ5eI5OnqOPBNLWSHKh2a30DoXe8/edit?usp=sharing"",""ระนอง!L279"")"),0)</f>
        <v>0</v>
      </c>
      <c r="M384" s="175"/>
      <c r="N384" s="175">
        <f ca="1">IFERROR(__xludf.DUMMYFUNCTION("IMPORTRANGE(""https://docs.google.com/spreadsheets/d/1IYY_tgx_IHuhSq3AJ5eI5OnqOPBNLWSHKh2a30DoXe8/edit?usp=sharing"",""ระนอง!M279"")"),0)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IFERROR(__xludf.DUMMYFUNCTION("IMPORTRANGE(""https://docs.google.com/spreadsheets/d/1IYY_tgx_IHuhSq3AJ5eI5OnqOPBNLWSHKh2a30DoXe8/edit?usp=sharing"",""ระนอง!L280"")"),1028520)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IFERROR(__xludf.DUMMYFUNCTION("IMPORTRANGE(""https://docs.google.com/spreadsheets/d/1IYY_tgx_IHuhSq3AJ5eI5OnqOPBNLWSHKh2a30DoXe8/edit?usp=sharing"",""ระนอง!M280"")"),642482)</f>
        <v>642482</v>
      </c>
      <c r="O385" s="175">
        <f t="shared" ca="1" si="109"/>
        <v>62.466651110333295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IFERROR(__xludf.DUMMYFUNCTION("IMPORTRANGE(""https://docs.google.com/spreadsheets/d/1IYY_tgx_IHuhSq3AJ5eI5OnqOPBNLWSHKh2a30DoXe8/edit?usp=sharing"",""ระนอง!M281"")"),166325)</f>
        <v>166325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IFERROR(__xludf.DUMMYFUNCTION("IMPORTRANGE(""https://docs.google.com/spreadsheets/d/1IYY_tgx_IHuhSq3AJ5eI5OnqOPBNLWSHKh2a30DoXe8/edit?usp=sharing"",""ระนอง!M282"")"),352321)</f>
        <v>352321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IFERROR(__xludf.DUMMYFUNCTION("IMPORTRANGE(""https://docs.google.com/spreadsheets/d/1IYY_tgx_IHuhSq3AJ5eI5OnqOPBNLWSHKh2a30DoXe8/edit?usp=sharing"",""ระนอง!M283"")"),86166)</f>
        <v>86166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IFERROR(__xludf.DUMMYFUNCTION("IMPORTRANGE(""https://docs.google.com/spreadsheets/d/1IYY_tgx_IHuhSq3AJ5eI5OnqOPBNLWSHKh2a30DoXe8/edit?usp=sharing"",""ระนอง!M284"")"),37670)</f>
        <v>37670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IFERROR(__xludf.DUMMYFUNCTION("IMPORTRANGE(""https://docs.google.com/spreadsheets/d/1IYY_tgx_IHuhSq3AJ5eI5OnqOPBNLWSHKh2a30DoXe8/edit?usp=sharing"",""ระนอง!J286"")"),0)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IFERROR(__xludf.DUMMYFUNCTION("IMPORTRANGE(""https://docs.google.com/spreadsheets/d/1IYY_tgx_IHuhSq3AJ5eI5OnqOPBNLWSHKh2a30DoXe8/edit?usp=sharing"",""ระนอง!J287"")"),1)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IFERROR(__xludf.DUMMYFUNCTION("IMPORTRANGE(""https://docs.google.com/spreadsheets/d/1IYY_tgx_IHuhSq3AJ5eI5OnqOPBNLWSHKh2a30DoXe8/edit?usp=sharing"",""ระนอง!J288"")"),1)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IFERROR(__xludf.DUMMYFUNCTION("IMPORTRANGE(""https://docs.google.com/spreadsheets/d/1IYY_tgx_IHuhSq3AJ5eI5OnqOPBNLWSHKh2a30DoXe8/edit?usp=sharing"",""ระนอง!J289"")"),1)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IFERROR(__xludf.DUMMYFUNCTION("IMPORTRANGE(""https://docs.google.com/spreadsheets/d/1IYY_tgx_IHuhSq3AJ5eI5OnqOPBNLWSHKh2a30DoXe8/edit?usp=sharing"",""ระนอง!I291"")"),100)</f>
        <v>100</v>
      </c>
      <c r="J396" s="204">
        <f ca="1">IFERROR(__xludf.DUMMYFUNCTION("IMPORTRANGE(""https://docs.google.com/spreadsheets/d/1IYY_tgx_IHuhSq3AJ5eI5OnqOPBNLWSHKh2a30DoXe8/edit?usp=sharing"",""ระนอง!J291"")"),100)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IFERROR(__xludf.DUMMYFUNCTION("IMPORTRANGE(""https://docs.google.com/spreadsheets/d/1IYY_tgx_IHuhSq3AJ5eI5OnqOPBNLWSHKh2a30DoXe8/edit?usp=sharing"",""ระนอง!I292"")"),1000)</f>
        <v>1000</v>
      </c>
      <c r="J397" s="204">
        <f ca="1">IFERROR(__xludf.DUMMYFUNCTION("IMPORTRANGE(""https://docs.google.com/spreadsheets/d/1IYY_tgx_IHuhSq3AJ5eI5OnqOPBNLWSHKh2a30DoXe8/edit?usp=sharing"",""ระนอง!J292"")"),1000)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IFERROR(__xludf.DUMMYFUNCTION("IMPORTRANGE(""https://docs.google.com/spreadsheets/d/1IYY_tgx_IHuhSq3AJ5eI5OnqOPBNLWSHKh2a30DoXe8/edit?usp=sharing"",""ระนอง!I293"")"),100)</f>
        <v>100</v>
      </c>
      <c r="J398" s="204">
        <f ca="1">IFERROR(__xludf.DUMMYFUNCTION("IMPORTRANGE(""https://docs.google.com/spreadsheets/d/1IYY_tgx_IHuhSq3AJ5eI5OnqOPBNLWSHKh2a30DoXe8/edit?usp=sharing"",""ระนอง!J293"")"),100)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IFERROR(__xludf.DUMMYFUNCTION("IMPORTRANGE(""https://docs.google.com/spreadsheets/d/1IYY_tgx_IHuhSq3AJ5eI5OnqOPBNLWSHKh2a30DoXe8/edit?usp=sharing"",""ระนอง!J294"")"),0)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IFERROR(__xludf.DUMMYFUNCTION("IMPORTRANGE(""https://docs.google.com/spreadsheets/d/1IYY_tgx_IHuhSq3AJ5eI5OnqOPBNLWSHKh2a30DoXe8/edit?usp=sharing"",""ระนอง!J295"")"),0)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IFERROR(__xludf.DUMMYFUNCTION("IMPORTRANGE(""https://docs.google.com/spreadsheets/d/1IYY_tgx_IHuhSq3AJ5eI5OnqOPBNLWSHKh2a30DoXe8/edit?usp=sharing"",""ระนอง!M296"")"),118450)</f>
        <v>118450</v>
      </c>
      <c r="O401" s="379">
        <f ca="1">+IF(L401&gt;0,N401*100/L401,0)</f>
        <v>68.790289796155406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IFERROR(__xludf.DUMMYFUNCTION("IMPORTRANGE(""https://docs.google.com/spreadsheets/d/1IYY_tgx_IHuhSq3AJ5eI5OnqOPBNLWSHKh2a30DoXe8/edit?usp=sharing"",""ระนอง!L298"")"),0)</f>
        <v>0</v>
      </c>
      <c r="M403" s="168"/>
      <c r="N403" s="175">
        <f ca="1">IFERROR(__xludf.DUMMYFUNCTION("IMPORTRANGE(""https://docs.google.com/spreadsheets/d/1IYY_tgx_IHuhSq3AJ5eI5OnqOPBNLWSHKh2a30DoXe8/edit?usp=sharing"",""ระนอง!M298"")"),0)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5">
        <f ca="1">IFERROR(__xludf.DUMMYFUNCTION("IMPORTRANGE(""https://docs.google.com/spreadsheets/d/1IYY_tgx_IHuhSq3AJ5eI5OnqOPBNLWSHKh2a30DoXe8/edit?usp=sharing"",""ระนอง!M299"")"),118450)</f>
        <v>118450</v>
      </c>
      <c r="O404" s="175">
        <f t="shared" ca="1" si="112"/>
        <v>68.790289796155406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IFERROR(__xludf.DUMMYFUNCTION("IMPORTRANGE(""https://docs.google.com/spreadsheets/d/1IYY_tgx_IHuhSq3AJ5eI5OnqOPBNLWSHKh2a30DoXe8/edit?usp=sharing"",""ระนอง!L300"")"),0)</f>
        <v>0</v>
      </c>
      <c r="M405" s="175"/>
      <c r="N405" s="175">
        <f ca="1">IFERROR(__xludf.DUMMYFUNCTION("IMPORTRANGE(""https://docs.google.com/spreadsheets/d/1IYY_tgx_IHuhSq3AJ5eI5OnqOPBNLWSHKh2a30DoXe8/edit?usp=sharing"",""ระนอง!M300"")"),0)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IFERROR(__xludf.DUMMYFUNCTION("IMPORTRANGE(""https://docs.google.com/spreadsheets/d/1IYY_tgx_IHuhSq3AJ5eI5OnqOPBNLWSHKh2a30DoXe8/edit?usp=sharing"",""ระนอง!L301"")"),172190)</f>
        <v>172190</v>
      </c>
      <c r="M406" s="175"/>
      <c r="N406" s="175">
        <f ca="1">IFERROR(__xludf.DUMMYFUNCTION("IMPORTRANGE(""https://docs.google.com/spreadsheets/d/1IYY_tgx_IHuhSq3AJ5eI5OnqOPBNLWSHKh2a30DoXe8/edit?usp=sharing"",""ระนอง!M301"")"),118450)</f>
        <v>118450</v>
      </c>
      <c r="O406" s="175">
        <f t="shared" ca="1" si="112"/>
        <v>68.790289796155406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IFERROR(__xludf.DUMMYFUNCTION("IMPORTRANGE(""https://docs.google.com/spreadsheets/d/1IYY_tgx_IHuhSq3AJ5eI5OnqOPBNLWSHKh2a30DoXe8/edit?usp=sharing"",""ระนอง!M303"")"),32500)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IFERROR(__xludf.DUMMYFUNCTION("IMPORTRANGE(""https://docs.google.com/spreadsheets/d/1IYY_tgx_IHuhSq3AJ5eI5OnqOPBNLWSHKh2a30DoXe8/edit?usp=sharing"",""ระนอง!M305"")"),22800)</f>
        <v>22800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IFERROR(__xludf.DUMMYFUNCTION("IMPORTRANGE(""https://docs.google.com/spreadsheets/d/1IYY_tgx_IHuhSq3AJ5eI5OnqOPBNLWSHKh2a30DoXe8/edit?usp=sharing"",""ระนอง!J307"")"),0)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IFERROR(__xludf.DUMMYFUNCTION("IMPORTRANGE(""https://docs.google.com/spreadsheets/d/1IYY_tgx_IHuhSq3AJ5eI5OnqOPBNLWSHKh2a30DoXe8/edit?usp=sharing"",""ระนอง!J308"")"),1)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IFERROR(__xludf.DUMMYFUNCTION("IMPORTRANGE(""https://docs.google.com/spreadsheets/d/1IYY_tgx_IHuhSq3AJ5eI5OnqOPBNLWSHKh2a30DoXe8/edit?usp=sharing"",""ระนอง!J309"")"),1)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IFERROR(__xludf.DUMMYFUNCTION("IMPORTRANGE(""https://docs.google.com/spreadsheets/d/1IYY_tgx_IHuhSq3AJ5eI5OnqOPBNLWSHKh2a30DoXe8/edit?usp=sharing"",""ระนอง!J310"")"),1)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IFERROR(__xludf.DUMMYFUNCTION("IMPORTRANGE(""https://docs.google.com/spreadsheets/d/1IYY_tgx_IHuhSq3AJ5eI5OnqOPBNLWSHKh2a30DoXe8/edit?usp=sharing"",""ระนอง!I311"")"),55)</f>
        <v>55</v>
      </c>
      <c r="J416" s="207">
        <f ca="1">IFERROR(__xludf.DUMMYFUNCTION("IMPORTRANGE(""https://docs.google.com/spreadsheets/d/1IYY_tgx_IHuhSq3AJ5eI5OnqOPBNLWSHKh2a30DoXe8/edit?usp=sharing"",""ระนอง!J311"")"),55)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IFERROR(__xludf.DUMMYFUNCTION("IMPORTRANGE(""https://docs.google.com/spreadsheets/d/1IYY_tgx_IHuhSq3AJ5eI5OnqOPBNLWSHKh2a30DoXe8/edit?usp=sharing"",""ระนอง!J328"")"),0)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IFERROR(__xludf.DUMMYFUNCTION("IMPORTRANGE(""https://docs.google.com/spreadsheets/d/1IYY_tgx_IHuhSq3AJ5eI5OnqOPBNLWSHKh2a30DoXe8/edit?usp=sharing"",""ระนอง!J329"")"),0)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IFERROR(__xludf.DUMMYFUNCTION("IMPORTRANGE(""https://docs.google.com/spreadsheets/d/1IYY_tgx_IHuhSq3AJ5eI5OnqOPBNLWSHKh2a30DoXe8/edit?usp=sharing"",""ระนอง!M330"")"),43150)</f>
        <v>43150</v>
      </c>
      <c r="O435" s="418">
        <f t="shared" ref="O435:O439" ca="1" si="114">+IF(L435&gt;0,N435*100/L435,0)</f>
        <v>56.776315789473685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IFERROR(__xludf.DUMMYFUNCTION("IMPORTRANGE(""https://docs.google.com/spreadsheets/d/1IYY_tgx_IHuhSq3AJ5eI5OnqOPBNLWSHKh2a30DoXe8/edit?usp=sharing"",""ระนอง!L331"")"),0)</f>
        <v>0</v>
      </c>
      <c r="M436" s="168"/>
      <c r="N436" s="175">
        <f ca="1">IFERROR(__xludf.DUMMYFUNCTION("IMPORTRANGE(""https://docs.google.com/spreadsheets/d/1IYY_tgx_IHuhSq3AJ5eI5OnqOPBNLWSHKh2a30DoXe8/edit?usp=sharing"",""ระนอง!M331"")"),0)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IFERROR(__xludf.DUMMYFUNCTION("IMPORTRANGE(""https://docs.google.com/spreadsheets/d/1IYY_tgx_IHuhSq3AJ5eI5OnqOPBNLWSHKh2a30DoXe8/edit?usp=sharing"",""ระนอง!L332"")"),76000)</f>
        <v>76000</v>
      </c>
      <c r="M437" s="169"/>
      <c r="N437" s="175">
        <f ca="1">IFERROR(__xludf.DUMMYFUNCTION("IMPORTRANGE(""https://docs.google.com/spreadsheets/d/1IYY_tgx_IHuhSq3AJ5eI5OnqOPBNLWSHKh2a30DoXe8/edit?usp=sharing"",""ระนอง!M332"")"),43150)</f>
        <v>43150</v>
      </c>
      <c r="O437" s="175">
        <f t="shared" ca="1" si="114"/>
        <v>56.776315789473685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IFERROR(__xludf.DUMMYFUNCTION("IMPORTRANGE(""https://docs.google.com/spreadsheets/d/1IYY_tgx_IHuhSq3AJ5eI5OnqOPBNLWSHKh2a30DoXe8/edit?usp=sharing"",""ระนอง!L333"")"),0)</f>
        <v>0</v>
      </c>
      <c r="M438" s="175"/>
      <c r="N438" s="175">
        <f ca="1">IFERROR(__xludf.DUMMYFUNCTION("IMPORTRANGE(""https://docs.google.com/spreadsheets/d/1IYY_tgx_IHuhSq3AJ5eI5OnqOPBNLWSHKh2a30DoXe8/edit?usp=sharing"",""ระนอง!M333"")"),0)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IFERROR(__xludf.DUMMYFUNCTION("IMPORTRANGE(""https://docs.google.com/spreadsheets/d/1IYY_tgx_IHuhSq3AJ5eI5OnqOPBNLWSHKh2a30DoXe8/edit?usp=sharing"",""ระนอง!L334"")"),76000)</f>
        <v>76000</v>
      </c>
      <c r="M439" s="175"/>
      <c r="N439" s="175">
        <f ca="1">IFERROR(__xludf.DUMMYFUNCTION("IMPORTRANGE(""https://docs.google.com/spreadsheets/d/1IYY_tgx_IHuhSq3AJ5eI5OnqOPBNLWSHKh2a30DoXe8/edit?usp=sharing"",""ระนอง!M334"")"),43150)</f>
        <v>43150</v>
      </c>
      <c r="O439" s="175">
        <f t="shared" ca="1" si="114"/>
        <v>56.776315789473685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IFERROR(__xludf.DUMMYFUNCTION("IMPORTRANGE(""https://docs.google.com/spreadsheets/d/1IYY_tgx_IHuhSq3AJ5eI5OnqOPBNLWSHKh2a30DoXe8/edit?usp=sharing"",""ระนอง!M335"")"),25200)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IFERROR(__xludf.DUMMYFUNCTION("IMPORTRANGE(""https://docs.google.com/spreadsheets/d/1IYY_tgx_IHuhSq3AJ5eI5OnqOPBNLWSHKh2a30DoXe8/edit?usp=sharing"",""ระนอง!M338"")"),17950)</f>
        <v>17950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IFERROR(__xludf.DUMMYFUNCTION("IMPORTRANGE(""https://docs.google.com/spreadsheets/d/1IYY_tgx_IHuhSq3AJ5eI5OnqOPBNLWSHKh2a30DoXe8/edit?usp=sharing"",""ระนอง!J340"")"),0)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IFERROR(__xludf.DUMMYFUNCTION("IMPORTRANGE(""https://docs.google.com/spreadsheets/d/1IYY_tgx_IHuhSq3AJ5eI5OnqOPBNLWSHKh2a30DoXe8/edit?usp=sharing"",""ระนอง!J341"")"),1)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IFERROR(__xludf.DUMMYFUNCTION("IMPORTRANGE(""https://docs.google.com/spreadsheets/d/1IYY_tgx_IHuhSq3AJ5eI5OnqOPBNLWSHKh2a30DoXe8/edit?usp=sharing"",""ระนอง!J342"")"),1)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IFERROR(__xludf.DUMMYFUNCTION("IMPORTRANGE(""https://docs.google.com/spreadsheets/d/1IYY_tgx_IHuhSq3AJ5eI5OnqOPBNLWSHKh2a30DoXe8/edit?usp=sharing"",""ระนอง!J343"")"),1)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7">
        <f ca="1">IFERROR(__xludf.DUMMYFUNCTION("IMPORTRANGE(""https://docs.google.com/spreadsheets/d/1IYY_tgx_IHuhSq3AJ5eI5OnqOPBNLWSHKh2a30DoXe8/edit?usp=sharing"",""ระนอง!J344"")"),10)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5">
        <f ca="1">IFERROR(__xludf.DUMMYFUNCTION("IMPORTRANGE(""https://docs.google.com/spreadsheets/d/1IYY_tgx_IHuhSq3AJ5eI5OnqOPBNLWSHKh2a30DoXe8/edit?usp=sharing"",""ระนอง!J345"")"),10)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4">
        <f ca="1">IFERROR(__xludf.DUMMYFUNCTION("IMPORTRANGE(""https://docs.google.com/spreadsheets/d/1IYY_tgx_IHuhSq3AJ5eI5OnqOPBNLWSHKh2a30DoXe8/edit?usp=sharing"",""ระนอง!J346"")"),0)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IFERROR(__xludf.DUMMYFUNCTION("IMPORTRANGE(""https://docs.google.com/spreadsheets/d/1IYY_tgx_IHuhSq3AJ5eI5OnqOPBNLWSHKh2a30DoXe8/edit?usp=sharing"",""ระนอง!I347"")"),0)</f>
        <v>0</v>
      </c>
      <c r="J452" s="194">
        <f ca="1">IFERROR(__xludf.DUMMYFUNCTION("IMPORTRANGE(""https://docs.google.com/spreadsheets/d/1IYY_tgx_IHuhSq3AJ5eI5OnqOPBNLWSHKh2a30DoXe8/edit?usp=sharing"",""ระนอง!J347"")"),0)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IFERROR(__xludf.DUMMYFUNCTION("IMPORTRANGE(""https://docs.google.com/spreadsheets/d/1IYY_tgx_IHuhSq3AJ5eI5OnqOPBNLWSHKh2a30DoXe8/edit?usp=sharing"",""ระนอง!J348"")"),0)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IFERROR(__xludf.DUMMYFUNCTION("IMPORTRANGE(""https://docs.google.com/spreadsheets/d/1IYY_tgx_IHuhSq3AJ5eI5OnqOPBNLWSHKh2a30DoXe8/edit?usp=sharing"",""ระนอง!J349"")"),0)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IFERROR(__xludf.DUMMYFUNCTION("IMPORTRANGE(""https://docs.google.com/spreadsheets/d/1IYY_tgx_IHuhSq3AJ5eI5OnqOPBNLWSHKh2a30DoXe8/edit?usp=sharing"",""ระนอง!L350"")"),60227)</f>
        <v>60227</v>
      </c>
      <c r="M455" s="379"/>
      <c r="N455" s="379">
        <f ca="1">IFERROR(__xludf.DUMMYFUNCTION("IMPORTRANGE(""https://docs.google.com/spreadsheets/d/1IYY_tgx_IHuhSq3AJ5eI5OnqOPBNLWSHKh2a30DoXe8/edit?usp=sharing"",""ระนอง!M350"")"),15000)</f>
        <v>15000</v>
      </c>
      <c r="O455" s="379">
        <f t="shared" ref="O455:O459" ca="1" si="116">+IF(L455&gt;0,N455*100/L455,0)</f>
        <v>24.905773158218075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IFERROR(__xludf.DUMMYFUNCTION("IMPORTRANGE(""https://docs.google.com/spreadsheets/d/1IYY_tgx_IHuhSq3AJ5eI5OnqOPBNLWSHKh2a30DoXe8/edit?usp=sharing"",""ระนอง!L351"")"),0)</f>
        <v>0</v>
      </c>
      <c r="M456" s="168"/>
      <c r="N456" s="175">
        <f ca="1">IFERROR(__xludf.DUMMYFUNCTION("IMPORTRANGE(""https://docs.google.com/spreadsheets/d/1IYY_tgx_IHuhSq3AJ5eI5OnqOPBNLWSHKh2a30DoXe8/edit?usp=sharing"",""ระนอง!M351"")"),0)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IFERROR(__xludf.DUMMYFUNCTION("IMPORTRANGE(""https://docs.google.com/spreadsheets/d/1IYY_tgx_IHuhSq3AJ5eI5OnqOPBNLWSHKh2a30DoXe8/edit?usp=sharing"",""ระนอง!L352"")"),60227)</f>
        <v>60227</v>
      </c>
      <c r="M457" s="169"/>
      <c r="N457" s="175">
        <f ca="1">IFERROR(__xludf.DUMMYFUNCTION("IMPORTRANGE(""https://docs.google.com/spreadsheets/d/1IYY_tgx_IHuhSq3AJ5eI5OnqOPBNLWSHKh2a30DoXe8/edit?usp=sharing"",""ระนอง!M352"")"),15000)</f>
        <v>15000</v>
      </c>
      <c r="O457" s="175">
        <f t="shared" ca="1" si="116"/>
        <v>24.905773158218075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IFERROR(__xludf.DUMMYFUNCTION("IMPORTRANGE(""https://docs.google.com/spreadsheets/d/1IYY_tgx_IHuhSq3AJ5eI5OnqOPBNLWSHKh2a30DoXe8/edit?usp=sharing"",""ระนอง!L353"")"),0)</f>
        <v>0</v>
      </c>
      <c r="M458" s="175"/>
      <c r="N458" s="175">
        <f ca="1">IFERROR(__xludf.DUMMYFUNCTION("IMPORTRANGE(""https://docs.google.com/spreadsheets/d/1IYY_tgx_IHuhSq3AJ5eI5OnqOPBNLWSHKh2a30DoXe8/edit?usp=sharing"",""ระนอง!M353"")"),0)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IFERROR(__xludf.DUMMYFUNCTION("IMPORTRANGE(""https://docs.google.com/spreadsheets/d/1IYY_tgx_IHuhSq3AJ5eI5OnqOPBNLWSHKh2a30DoXe8/edit?usp=sharing"",""ระนอง!L354"")"),60227)</f>
        <v>60227</v>
      </c>
      <c r="M459" s="175"/>
      <c r="N459" s="175">
        <f ca="1">IFERROR(__xludf.DUMMYFUNCTION("IMPORTRANGE(""https://docs.google.com/spreadsheets/d/1IYY_tgx_IHuhSq3AJ5eI5OnqOPBNLWSHKh2a30DoXe8/edit?usp=sharing"",""ระนอง!M354"")"),15000)</f>
        <v>15000</v>
      </c>
      <c r="O459" s="175">
        <f t="shared" ca="1" si="116"/>
        <v>24.905773158218075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IFERROR(__xludf.DUMMYFUNCTION("IMPORTRANGE(""https://docs.google.com/spreadsheets/d/1IYY_tgx_IHuhSq3AJ5eI5OnqOPBNLWSHKh2a30DoXe8/edit?usp=sharing"",""ระนอง!M355"")"),0)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IFERROR(__xludf.DUMMYFUNCTION("IMPORTRANGE(""https://docs.google.com/spreadsheets/d/1IYY_tgx_IHuhSq3AJ5eI5OnqOPBNLWSHKh2a30DoXe8/edit?usp=sharing"",""ระนอง!M356"")"),0)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IFERROR(__xludf.DUMMYFUNCTION("IMPORTRANGE(""https://docs.google.com/spreadsheets/d/1IYY_tgx_IHuhSq3AJ5eI5OnqOPBNLWSHKh2a30DoXe8/edit?usp=sharing"",""ระนอง!M358"")"),15000)</f>
        <v>15000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IFERROR(__xludf.DUMMYFUNCTION("IMPORTRANGE(""https://docs.google.com/spreadsheets/d/1IYY_tgx_IHuhSq3AJ5eI5OnqOPBNLWSHKh2a30DoXe8/edit?usp=sharing"",""ระนอง!I359"")"),0)</f>
        <v>0</v>
      </c>
      <c r="J464" s="273">
        <f ca="1">IFERROR(__xludf.DUMMYFUNCTION("IMPORTRANGE(""https://docs.google.com/spreadsheets/d/1IYY_tgx_IHuhSq3AJ5eI5OnqOPBNLWSHKh2a30DoXe8/edit?usp=sharing"",""ระนอง!J359"")"),0)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IFERROR(__xludf.DUMMYFUNCTION("IMPORTRANGE(""https://docs.google.com/spreadsheets/d/1IYY_tgx_IHuhSq3AJ5eI5OnqOPBNLWSHKh2a30DoXe8/edit?usp=sharing"",""ระนอง!I362"")"),0)</f>
        <v>0</v>
      </c>
      <c r="J467" s="195">
        <f ca="1">IFERROR(__xludf.DUMMYFUNCTION("IMPORTRANGE(""https://docs.google.com/spreadsheets/d/1IYY_tgx_IHuhSq3AJ5eI5OnqOPBNLWSHKh2a30DoXe8/edit?usp=sharing"",""ระนอง!J362"")"),0)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IFERROR(__xludf.DUMMYFUNCTION("IMPORTRANGE(""https://docs.google.com/spreadsheets/d/1IYY_tgx_IHuhSq3AJ5eI5OnqOPBNLWSHKh2a30DoXe8/edit?usp=sharing"",""ระนอง!I363"")"),0)</f>
        <v>0</v>
      </c>
      <c r="J468" s="195">
        <f ca="1">IFERROR(__xludf.DUMMYFUNCTION("IMPORTRANGE(""https://docs.google.com/spreadsheets/d/1IYY_tgx_IHuhSq3AJ5eI5OnqOPBNLWSHKh2a30DoXe8/edit?usp=sharing"",""ระนอง!J363"")"),0)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IFERROR(__xludf.DUMMYFUNCTION("IMPORTRANGE(""https://docs.google.com/spreadsheets/d/1IYY_tgx_IHuhSq3AJ5eI5OnqOPBNLWSHKh2a30DoXe8/edit?usp=sharing"",""ระนอง!I364"")"),0)</f>
        <v>0</v>
      </c>
      <c r="J469" s="195">
        <f ca="1">IFERROR(__xludf.DUMMYFUNCTION("IMPORTRANGE(""https://docs.google.com/spreadsheets/d/1IYY_tgx_IHuhSq3AJ5eI5OnqOPBNLWSHKh2a30DoXe8/edit?usp=sharing"",""ระนอง!J364"")"),0)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IFERROR(__xludf.DUMMYFUNCTION("IMPORTRANGE(""https://docs.google.com/spreadsheets/d/1IYY_tgx_IHuhSq3AJ5eI5OnqOPBNLWSHKh2a30DoXe8/edit?usp=sharing"",""ระนอง!I365"")"),0)</f>
        <v>0</v>
      </c>
      <c r="J470" s="195">
        <f ca="1">IFERROR(__xludf.DUMMYFUNCTION("IMPORTRANGE(""https://docs.google.com/spreadsheets/d/1IYY_tgx_IHuhSq3AJ5eI5OnqOPBNLWSHKh2a30DoXe8/edit?usp=sharing"",""ระนอง!J365"")"),0)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IFERROR(__xludf.DUMMYFUNCTION("IMPORTRANGE(""https://docs.google.com/spreadsheets/d/1IYY_tgx_IHuhSq3AJ5eI5OnqOPBNLWSHKh2a30DoXe8/edit?usp=sharing"",""ระนอง!I366"")"),0)</f>
        <v>0</v>
      </c>
      <c r="J471" s="195">
        <f ca="1">IFERROR(__xludf.DUMMYFUNCTION("IMPORTRANGE(""https://docs.google.com/spreadsheets/d/1IYY_tgx_IHuhSq3AJ5eI5OnqOPBNLWSHKh2a30DoXe8/edit?usp=sharing"",""ระนอง!J366"")"),0)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IFERROR(__xludf.DUMMYFUNCTION("IMPORTRANGE(""https://docs.google.com/spreadsheets/d/1IYY_tgx_IHuhSq3AJ5eI5OnqOPBNLWSHKh2a30DoXe8/edit?usp=sharing"",""ระนอง!I367"")"),0)</f>
        <v>0</v>
      </c>
      <c r="J472" s="195">
        <f ca="1">IFERROR(__xludf.DUMMYFUNCTION("IMPORTRANGE(""https://docs.google.com/spreadsheets/d/1IYY_tgx_IHuhSq3AJ5eI5OnqOPBNLWSHKh2a30DoXe8/edit?usp=sharing"",""ระนอง!J367"")"),0)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IFERROR(__xludf.DUMMYFUNCTION("IMPORTRANGE(""https://docs.google.com/spreadsheets/d/1IYY_tgx_IHuhSq3AJ5eI5OnqOPBNLWSHKh2a30DoXe8/edit?usp=sharing"",""ระนอง!I370"")"),0)</f>
        <v>0</v>
      </c>
      <c r="J475" s="195">
        <f ca="1">IFERROR(__xludf.DUMMYFUNCTION("IMPORTRANGE(""https://docs.google.com/spreadsheets/d/1IYY_tgx_IHuhSq3AJ5eI5OnqOPBNLWSHKh2a30DoXe8/edit?usp=sharing"",""ระนอง!J370"")"),0)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IFERROR(__xludf.DUMMYFUNCTION("IMPORTRANGE(""https://docs.google.com/spreadsheets/d/1IYY_tgx_IHuhSq3AJ5eI5OnqOPBNLWSHKh2a30DoXe8/edit?usp=sharing"",""ระนอง!I371"")"),0)</f>
        <v>0</v>
      </c>
      <c r="J476" s="195">
        <f ca="1">IFERROR(__xludf.DUMMYFUNCTION("IMPORTRANGE(""https://docs.google.com/spreadsheets/d/1IYY_tgx_IHuhSq3AJ5eI5OnqOPBNLWSHKh2a30DoXe8/edit?usp=sharing"",""ระนอง!J371"")"),0)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IFERROR(__xludf.DUMMYFUNCTION("IMPORTRANGE(""https://docs.google.com/spreadsheets/d/1IYY_tgx_IHuhSq3AJ5eI5OnqOPBNLWSHKh2a30DoXe8/edit?usp=sharing"",""ระนอง!I372"")"),0)</f>
        <v>0</v>
      </c>
      <c r="J477" s="195">
        <f ca="1">IFERROR(__xludf.DUMMYFUNCTION("IMPORTRANGE(""https://docs.google.com/spreadsheets/d/1IYY_tgx_IHuhSq3AJ5eI5OnqOPBNLWSHKh2a30DoXe8/edit?usp=sharing"",""ระนอง!J372"")"),0)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IFERROR(__xludf.DUMMYFUNCTION("IMPORTRANGE(""https://docs.google.com/spreadsheets/d/1IYY_tgx_IHuhSq3AJ5eI5OnqOPBNLWSHKh2a30DoXe8/edit?usp=sharing"",""ระนอง!I373"")"),0)</f>
        <v>0</v>
      </c>
      <c r="J478" s="195">
        <f ca="1">IFERROR(__xludf.DUMMYFUNCTION("IMPORTRANGE(""https://docs.google.com/spreadsheets/d/1IYY_tgx_IHuhSq3AJ5eI5OnqOPBNLWSHKh2a30DoXe8/edit?usp=sharing"",""ระนอง!J373"")"),0)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IFERROR(__xludf.DUMMYFUNCTION("IMPORTRANGE(""https://docs.google.com/spreadsheets/d/1IYY_tgx_IHuhSq3AJ5eI5OnqOPBNLWSHKh2a30DoXe8/edit?usp=sharing"",""ระนอง!I374"")"),0)</f>
        <v>0</v>
      </c>
      <c r="J479" s="195">
        <f ca="1">IFERROR(__xludf.DUMMYFUNCTION("IMPORTRANGE(""https://docs.google.com/spreadsheets/d/1IYY_tgx_IHuhSq3AJ5eI5OnqOPBNLWSHKh2a30DoXe8/edit?usp=sharing"",""ระนอง!J374"")"),0)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IFERROR(__xludf.DUMMYFUNCTION("IMPORTRANGE(""https://docs.google.com/spreadsheets/d/1IYY_tgx_IHuhSq3AJ5eI5OnqOPBNLWSHKh2a30DoXe8/edit?usp=sharing"",""ระนอง!I375"")"),0)</f>
        <v>0</v>
      </c>
      <c r="J480" s="195">
        <f ca="1">IFERROR(__xludf.DUMMYFUNCTION("IMPORTRANGE(""https://docs.google.com/spreadsheets/d/1IYY_tgx_IHuhSq3AJ5eI5OnqOPBNLWSHKh2a30DoXe8/edit?usp=sharing"",""ระนอง!J375"")"),0)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IFERROR(__xludf.DUMMYFUNCTION("IMPORTRANGE(""https://docs.google.com/spreadsheets/d/1IYY_tgx_IHuhSq3AJ5eI5OnqOPBNLWSHKh2a30DoXe8/edit?usp=sharing"",""ระนอง!I378"")"),0)</f>
        <v>0</v>
      </c>
      <c r="J483" s="195">
        <f ca="1">IFERROR(__xludf.DUMMYFUNCTION("IMPORTRANGE(""https://docs.google.com/spreadsheets/d/1IYY_tgx_IHuhSq3AJ5eI5OnqOPBNLWSHKh2a30DoXe8/edit?usp=sharing"",""ระนอง!J378"")"),0)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IFERROR(__xludf.DUMMYFUNCTION("IMPORTRANGE(""https://docs.google.com/spreadsheets/d/1IYY_tgx_IHuhSq3AJ5eI5OnqOPBNLWSHKh2a30DoXe8/edit?usp=sharing"",""ระนอง!I379"")"),0)</f>
        <v>0</v>
      </c>
      <c r="J484" s="195">
        <f ca="1">IFERROR(__xludf.DUMMYFUNCTION("IMPORTRANGE(""https://docs.google.com/spreadsheets/d/1IYY_tgx_IHuhSq3AJ5eI5OnqOPBNLWSHKh2a30DoXe8/edit?usp=sharing"",""ระนอง!J379"")"),0)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IFERROR(__xludf.DUMMYFUNCTION("IMPORTRANGE(""https://docs.google.com/spreadsheets/d/1IYY_tgx_IHuhSq3AJ5eI5OnqOPBNLWSHKh2a30DoXe8/edit?usp=sharing"",""ระนอง!I380"")"),0)</f>
        <v>0</v>
      </c>
      <c r="J485" s="195">
        <f ca="1">IFERROR(__xludf.DUMMYFUNCTION("IMPORTRANGE(""https://docs.google.com/spreadsheets/d/1IYY_tgx_IHuhSq3AJ5eI5OnqOPBNLWSHKh2a30DoXe8/edit?usp=sharing"",""ระนอง!J380"")"),0)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IFERROR(__xludf.DUMMYFUNCTION("IMPORTRANGE(""https://docs.google.com/spreadsheets/d/1IYY_tgx_IHuhSq3AJ5eI5OnqOPBNLWSHKh2a30DoXe8/edit?usp=sharing"",""ระนอง!I381"")"),0)</f>
        <v>0</v>
      </c>
      <c r="J486" s="195">
        <f ca="1">IFERROR(__xludf.DUMMYFUNCTION("IMPORTRANGE(""https://docs.google.com/spreadsheets/d/1IYY_tgx_IHuhSq3AJ5eI5OnqOPBNLWSHKh2a30DoXe8/edit?usp=sharing"",""ระนอง!J381"")"),0)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IFERROR(__xludf.DUMMYFUNCTION("IMPORTRANGE(""https://docs.google.com/spreadsheets/d/1IYY_tgx_IHuhSq3AJ5eI5OnqOPBNLWSHKh2a30DoXe8/edit?usp=sharing"",""ระนอง!I384"")"),0)</f>
        <v>0</v>
      </c>
      <c r="J489" s="195">
        <f ca="1">IFERROR(__xludf.DUMMYFUNCTION("IMPORTRANGE(""https://docs.google.com/spreadsheets/d/1IYY_tgx_IHuhSq3AJ5eI5OnqOPBNLWSHKh2a30DoXe8/edit?usp=sharing"",""ระนอง!J384"")"),0)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IFERROR(__xludf.DUMMYFUNCTION("IMPORTRANGE(""https://docs.google.com/spreadsheets/d/1IYY_tgx_IHuhSq3AJ5eI5OnqOPBNLWSHKh2a30DoXe8/edit?usp=sharing"",""ระนอง!I385"")"),0)</f>
        <v>0</v>
      </c>
      <c r="J490" s="195">
        <f ca="1">IFERROR(__xludf.DUMMYFUNCTION("IMPORTRANGE(""https://docs.google.com/spreadsheets/d/1IYY_tgx_IHuhSq3AJ5eI5OnqOPBNLWSHKh2a30DoXe8/edit?usp=sharing"",""ระนอง!J385"")"),0)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IFERROR(__xludf.DUMMYFUNCTION("IMPORTRANGE(""https://docs.google.com/spreadsheets/d/1IYY_tgx_IHuhSq3AJ5eI5OnqOPBNLWSHKh2a30DoXe8/edit?usp=sharing"",""ระนอง!I386"")"),0)</f>
        <v>0</v>
      </c>
      <c r="J491" s="195">
        <f ca="1">IFERROR(__xludf.DUMMYFUNCTION("IMPORTRANGE(""https://docs.google.com/spreadsheets/d/1IYY_tgx_IHuhSq3AJ5eI5OnqOPBNLWSHKh2a30DoXe8/edit?usp=sharing"",""ระนอง!J386"")"),0)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IFERROR(__xludf.DUMMYFUNCTION("IMPORTRANGE(""https://docs.google.com/spreadsheets/d/1IYY_tgx_IHuhSq3AJ5eI5OnqOPBNLWSHKh2a30DoXe8/edit?usp=sharing"",""ระนอง!I387"")"),0)</f>
        <v>0</v>
      </c>
      <c r="J492" s="195">
        <f ca="1">IFERROR(__xludf.DUMMYFUNCTION("IMPORTRANGE(""https://docs.google.com/spreadsheets/d/1IYY_tgx_IHuhSq3AJ5eI5OnqOPBNLWSHKh2a30DoXe8/edit?usp=sharing"",""ระนอง!J387"")"),0)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IFERROR(__xludf.DUMMYFUNCTION("IMPORTRANGE(""https://docs.google.com/spreadsheets/d/1IYY_tgx_IHuhSq3AJ5eI5OnqOPBNLWSHKh2a30DoXe8/edit?usp=sharing"",""ระนอง!I388"")"),0)</f>
        <v>0</v>
      </c>
      <c r="J493" s="195">
        <f ca="1">IFERROR(__xludf.DUMMYFUNCTION("IMPORTRANGE(""https://docs.google.com/spreadsheets/d/1IYY_tgx_IHuhSq3AJ5eI5OnqOPBNLWSHKh2a30DoXe8/edit?usp=sharing"",""ระนอง!J388"")"),0)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IFERROR(__xludf.DUMMYFUNCTION("IMPORTRANGE(""https://docs.google.com/spreadsheets/d/1IYY_tgx_IHuhSq3AJ5eI5OnqOPBNLWSHKh2a30DoXe8/edit?usp=sharing"",""ระนอง!J392"")"),412)</f>
        <v>412</v>
      </c>
      <c r="K497" s="450">
        <f t="shared" ca="1" si="117"/>
        <v>73.179396092362339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IFERROR(__xludf.DUMMYFUNCTION("IMPORTRANGE(""https://docs.google.com/spreadsheets/d/1IYY_tgx_IHuhSq3AJ5eI5OnqOPBNLWSHKh2a30DoXe8/edit?usp=sharing"",""ระนอง!J393"")"),412)</f>
        <v>412</v>
      </c>
      <c r="K498" s="208">
        <f t="shared" ca="1" si="117"/>
        <v>73.179396092362339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IFERROR(__xludf.DUMMYFUNCTION("IMPORTRANGE(""https://docs.google.com/spreadsheets/d/1IYY_tgx_IHuhSq3AJ5eI5OnqOPBNLWSHKh2a30DoXe8/edit?usp=sharing"",""ระนอง!J394"")"),49)</f>
        <v>49</v>
      </c>
      <c r="K499" s="208">
        <f t="shared" ca="1" si="117"/>
        <v>68.055555555555557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IFERROR(__xludf.DUMMYFUNCTION("IMPORTRANGE(""https://docs.google.com/spreadsheets/d/1IYY_tgx_IHuhSq3AJ5eI5OnqOPBNLWSHKh2a30DoXe8/edit?usp=sharing"",""ระนอง!I395"")"),0)</f>
        <v>0</v>
      </c>
      <c r="J500" s="166">
        <f ca="1">IFERROR(__xludf.DUMMYFUNCTION("IMPORTRANGE(""https://docs.google.com/spreadsheets/d/1IYY_tgx_IHuhSq3AJ5eI5OnqOPBNLWSHKh2a30DoXe8/edit?usp=sharing"",""ระนอง!J395"")"),384)</f>
        <v>384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IFERROR(__xludf.DUMMYFUNCTION("IMPORTRANGE(""https://docs.google.com/spreadsheets/d/1IYY_tgx_IHuhSq3AJ5eI5OnqOPBNLWSHKh2a30DoXe8/edit?usp=sharing"",""ระนอง!I396"")"),0)</f>
        <v>0</v>
      </c>
      <c r="J501" s="166">
        <f ca="1">IFERROR(__xludf.DUMMYFUNCTION("IMPORTRANGE(""https://docs.google.com/spreadsheets/d/1IYY_tgx_IHuhSq3AJ5eI5OnqOPBNLWSHKh2a30DoXe8/edit?usp=sharing"",""ระนอง!J396"")"),46)</f>
        <v>46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IFERROR(__xludf.DUMMYFUNCTION("IMPORTRANGE(""https://docs.google.com/spreadsheets/d/1IYY_tgx_IHuhSq3AJ5eI5OnqOPBNLWSHKh2a30DoXe8/edit?usp=sharing"",""ระนอง!I397"")"),0)</f>
        <v>0</v>
      </c>
      <c r="J502" s="195">
        <f ca="1">IFERROR(__xludf.DUMMYFUNCTION("IMPORTRANGE(""https://docs.google.com/spreadsheets/d/1IYY_tgx_IHuhSq3AJ5eI5OnqOPBNLWSHKh2a30DoXe8/edit?usp=sharing"",""ระนอง!J397"")"),363)</f>
        <v>363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IFERROR(__xludf.DUMMYFUNCTION("IMPORTRANGE(""https://docs.google.com/spreadsheets/d/1IYY_tgx_IHuhSq3AJ5eI5OnqOPBNLWSHKh2a30DoXe8/edit?usp=sharing"",""ระนอง!I398"")"),0)</f>
        <v>0</v>
      </c>
      <c r="J503" s="204">
        <f ca="1">IFERROR(__xludf.DUMMYFUNCTION("IMPORTRANGE(""https://docs.google.com/spreadsheets/d/1IYY_tgx_IHuhSq3AJ5eI5OnqOPBNLWSHKh2a30DoXe8/edit?usp=sharing"",""ระนอง!J398"")"),43)</f>
        <v>43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IFERROR(__xludf.DUMMYFUNCTION("IMPORTRANGE(""https://docs.google.com/spreadsheets/d/1IYY_tgx_IHuhSq3AJ5eI5OnqOPBNLWSHKh2a30DoXe8/edit?usp=sharing"",""ระนอง!I399"")"),0)</f>
        <v>0</v>
      </c>
      <c r="J504" s="195">
        <f ca="1">IFERROR(__xludf.DUMMYFUNCTION("IMPORTRANGE(""https://docs.google.com/spreadsheets/d/1IYY_tgx_IHuhSq3AJ5eI5OnqOPBNLWSHKh2a30DoXe8/edit?usp=sharing"",""ระนอง!J399"")"),21)</f>
        <v>21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IFERROR(__xludf.DUMMYFUNCTION("IMPORTRANGE(""https://docs.google.com/spreadsheets/d/1IYY_tgx_IHuhSq3AJ5eI5OnqOPBNLWSHKh2a30DoXe8/edit?usp=sharing"",""ระนอง!I400"")"),0)</f>
        <v>0</v>
      </c>
      <c r="J505" s="204">
        <f ca="1">IFERROR(__xludf.DUMMYFUNCTION("IMPORTRANGE(""https://docs.google.com/spreadsheets/d/1IYY_tgx_IHuhSq3AJ5eI5OnqOPBNLWSHKh2a30DoXe8/edit?usp=sharing"",""ระนอง!J400"")"),3)</f>
        <v>3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IFERROR(__xludf.DUMMYFUNCTION("IMPORTRANGE(""https://docs.google.com/spreadsheets/d/1IYY_tgx_IHuhSq3AJ5eI5OnqOPBNLWSHKh2a30DoXe8/edit?usp=sharing"",""ระนอง!I401"")"),0)</f>
        <v>0</v>
      </c>
      <c r="J506" s="195">
        <f ca="1">IFERROR(__xludf.DUMMYFUNCTION("IMPORTRANGE(""https://docs.google.com/spreadsheets/d/1IYY_tgx_IHuhSq3AJ5eI5OnqOPBNLWSHKh2a30DoXe8/edit?usp=sharing"",""ระนอง!J401"")"),0)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IFERROR(__xludf.DUMMYFUNCTION("IMPORTRANGE(""https://docs.google.com/spreadsheets/d/1IYY_tgx_IHuhSq3AJ5eI5OnqOPBNLWSHKh2a30DoXe8/edit?usp=sharing"",""ระนอง!I402"")"),0)</f>
        <v>0</v>
      </c>
      <c r="J507" s="204">
        <f ca="1">IFERROR(__xludf.DUMMYFUNCTION("IMPORTRANGE(""https://docs.google.com/spreadsheets/d/1IYY_tgx_IHuhSq3AJ5eI5OnqOPBNLWSHKh2a30DoXe8/edit?usp=sharing"",""ระนอง!J402"")"),0)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IFERROR(__xludf.DUMMYFUNCTION("IMPORTRANGE(""https://docs.google.com/spreadsheets/d/1IYY_tgx_IHuhSq3AJ5eI5OnqOPBNLWSHKh2a30DoXe8/edit?usp=sharing"",""ระนอง!I403"")"),0)</f>
        <v>0</v>
      </c>
      <c r="J508" s="166">
        <f ca="1">IFERROR(__xludf.DUMMYFUNCTION("IMPORTRANGE(""https://docs.google.com/spreadsheets/d/1IYY_tgx_IHuhSq3AJ5eI5OnqOPBNLWSHKh2a30DoXe8/edit?usp=sharing"",""ระนอง!J403"")"),28)</f>
        <v>28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IFERROR(__xludf.DUMMYFUNCTION("IMPORTRANGE(""https://docs.google.com/spreadsheets/d/1IYY_tgx_IHuhSq3AJ5eI5OnqOPBNLWSHKh2a30DoXe8/edit?usp=sharing"",""ระนอง!I404"")"),0)</f>
        <v>0</v>
      </c>
      <c r="J509" s="166">
        <f ca="1">IFERROR(__xludf.DUMMYFUNCTION("IMPORTRANGE(""https://docs.google.com/spreadsheets/d/1IYY_tgx_IHuhSq3AJ5eI5OnqOPBNLWSHKh2a30DoXe8/edit?usp=sharing"",""ระนอง!J404"")"),3)</f>
        <v>3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IFERROR(__xludf.DUMMYFUNCTION("IMPORTRANGE(""https://docs.google.com/spreadsheets/d/1IYY_tgx_IHuhSq3AJ5eI5OnqOPBNLWSHKh2a30DoXe8/edit?usp=sharing"",""ระนอง!I405"")"),0)</f>
        <v>0</v>
      </c>
      <c r="J510" s="204">
        <f ca="1">IFERROR(__xludf.DUMMYFUNCTION("IMPORTRANGE(""https://docs.google.com/spreadsheets/d/1IYY_tgx_IHuhSq3AJ5eI5OnqOPBNLWSHKh2a30DoXe8/edit?usp=sharing"",""ระนอง!J405"")"),12)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IFERROR(__xludf.DUMMYFUNCTION("IMPORTRANGE(""https://docs.google.com/spreadsheets/d/1IYY_tgx_IHuhSq3AJ5eI5OnqOPBNLWSHKh2a30DoXe8/edit?usp=sharing"",""ระนอง!I406"")"),0)</f>
        <v>0</v>
      </c>
      <c r="J511" s="204">
        <f ca="1">IFERROR(__xludf.DUMMYFUNCTION("IMPORTRANGE(""https://docs.google.com/spreadsheets/d/1IYY_tgx_IHuhSq3AJ5eI5OnqOPBNLWSHKh2a30DoXe8/edit?usp=sharing"",""ระนอง!J406"")"),1)</f>
        <v>1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IFERROR(__xludf.DUMMYFUNCTION("IMPORTRANGE(""https://docs.google.com/spreadsheets/d/1IYY_tgx_IHuhSq3AJ5eI5OnqOPBNLWSHKh2a30DoXe8/edit?usp=sharing"",""ระนอง!I407"")"),0)</f>
        <v>0</v>
      </c>
      <c r="J512" s="204">
        <f ca="1">IFERROR(__xludf.DUMMYFUNCTION("IMPORTRANGE(""https://docs.google.com/spreadsheets/d/1IYY_tgx_IHuhSq3AJ5eI5OnqOPBNLWSHKh2a30DoXe8/edit?usp=sharing"",""ระนอง!J407"")"),16)</f>
        <v>16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IFERROR(__xludf.DUMMYFUNCTION("IMPORTRANGE(""https://docs.google.com/spreadsheets/d/1IYY_tgx_IHuhSq3AJ5eI5OnqOPBNLWSHKh2a30DoXe8/edit?usp=sharing"",""ระนอง!I408"")"),0)</f>
        <v>0</v>
      </c>
      <c r="J513" s="204">
        <f ca="1">IFERROR(__xludf.DUMMYFUNCTION("IMPORTRANGE(""https://docs.google.com/spreadsheets/d/1IYY_tgx_IHuhSq3AJ5eI5OnqOPBNLWSHKh2a30DoXe8/edit?usp=sharing"",""ระนอง!J408"")"),2)</f>
        <v>2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IFERROR(__xludf.DUMMYFUNCTION("IMPORTRANGE(""https://docs.google.com/spreadsheets/d/1IYY_tgx_IHuhSq3AJ5eI5OnqOPBNLWSHKh2a30DoXe8/edit?usp=sharing"",""ระนอง!I409"")"),0)</f>
        <v>0</v>
      </c>
      <c r="J514" s="204">
        <f ca="1">IFERROR(__xludf.DUMMYFUNCTION("IMPORTRANGE(""https://docs.google.com/spreadsheets/d/1IYY_tgx_IHuhSq3AJ5eI5OnqOPBNLWSHKh2a30DoXe8/edit?usp=sharing"",""ระนอง!J409"")"),0)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IFERROR(__xludf.DUMMYFUNCTION("IMPORTRANGE(""https://docs.google.com/spreadsheets/d/1IYY_tgx_IHuhSq3AJ5eI5OnqOPBNLWSHKh2a30DoXe8/edit?usp=sharing"",""ระนอง!I410"")"),0)</f>
        <v>0</v>
      </c>
      <c r="J515" s="204">
        <f ca="1">IFERROR(__xludf.DUMMYFUNCTION("IMPORTRANGE(""https://docs.google.com/spreadsheets/d/1IYY_tgx_IHuhSq3AJ5eI5OnqOPBNLWSHKh2a30DoXe8/edit?usp=sharing"",""ระนอง!J410"")"),0)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IFERROR(__xludf.DUMMYFUNCTION("IMPORTRANGE(""https://docs.google.com/spreadsheets/d/1IYY_tgx_IHuhSq3AJ5eI5OnqOPBNLWSHKh2a30DoXe8/edit?usp=sharing"",""ระนอง!I411"")"),0)</f>
        <v>0</v>
      </c>
      <c r="J516" s="273">
        <f ca="1">IFERROR(__xludf.DUMMYFUNCTION("IMPORTRANGE(""https://docs.google.com/spreadsheets/d/1IYY_tgx_IHuhSq3AJ5eI5OnqOPBNLWSHKh2a30DoXe8/edit?usp=sharing"",""ระนอง!J411"")"),0)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IFERROR(__xludf.DUMMYFUNCTION("IMPORTRANGE(""https://docs.google.com/spreadsheets/d/1IYY_tgx_IHuhSq3AJ5eI5OnqOPBNLWSHKh2a30DoXe8/edit?usp=sharing"",""ระนอง!I414"")"),0)</f>
        <v>0</v>
      </c>
      <c r="J519" s="194">
        <f ca="1">IFERROR(__xludf.DUMMYFUNCTION("IMPORTRANGE(""https://docs.google.com/spreadsheets/d/1IYY_tgx_IHuhSq3AJ5eI5OnqOPBNLWSHKh2a30DoXe8/edit?usp=sharing"",""ระนอง!J414"")"),0)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IFERROR(__xludf.DUMMYFUNCTION("IMPORTRANGE(""https://docs.google.com/spreadsheets/d/1IYY_tgx_IHuhSq3AJ5eI5OnqOPBNLWSHKh2a30DoXe8/edit?usp=sharing"",""ระนอง!I415"")"),0)</f>
        <v>0</v>
      </c>
      <c r="J520" s="194">
        <f ca="1">IFERROR(__xludf.DUMMYFUNCTION("IMPORTRANGE(""https://docs.google.com/spreadsheets/d/1IYY_tgx_IHuhSq3AJ5eI5OnqOPBNLWSHKh2a30DoXe8/edit?usp=sharing"",""ระนอง!J415"")"),0)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IFERROR(__xludf.DUMMYFUNCTION("IMPORTRANGE(""https://docs.google.com/spreadsheets/d/1IYY_tgx_IHuhSq3AJ5eI5OnqOPBNLWSHKh2a30DoXe8/edit?usp=sharing"",""ระนอง!I416"")"),0)</f>
        <v>0</v>
      </c>
      <c r="J521" s="194">
        <f ca="1">IFERROR(__xludf.DUMMYFUNCTION("IMPORTRANGE(""https://docs.google.com/spreadsheets/d/1IYY_tgx_IHuhSq3AJ5eI5OnqOPBNLWSHKh2a30DoXe8/edit?usp=sharing"",""ระนอง!J416"")"),0)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IFERROR(__xludf.DUMMYFUNCTION("IMPORTRANGE(""https://docs.google.com/spreadsheets/d/1IYY_tgx_IHuhSq3AJ5eI5OnqOPBNLWSHKh2a30DoXe8/edit?usp=sharing"",""ระนอง!I417"")"),0)</f>
        <v>0</v>
      </c>
      <c r="J522" s="194">
        <f ca="1">IFERROR(__xludf.DUMMYFUNCTION("IMPORTRANGE(""https://docs.google.com/spreadsheets/d/1IYY_tgx_IHuhSq3AJ5eI5OnqOPBNLWSHKh2a30DoXe8/edit?usp=sharing"",""ระนอง!J417"")"),0)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IFERROR(__xludf.DUMMYFUNCTION("IMPORTRANGE(""https://docs.google.com/spreadsheets/d/1IYY_tgx_IHuhSq3AJ5eI5OnqOPBNLWSHKh2a30DoXe8/edit?usp=sharing"",""ระนอง!I418"")"),0)</f>
        <v>0</v>
      </c>
      <c r="J523" s="194">
        <f ca="1">IFERROR(__xludf.DUMMYFUNCTION("IMPORTRANGE(""https://docs.google.com/spreadsheets/d/1IYY_tgx_IHuhSq3AJ5eI5OnqOPBNLWSHKh2a30DoXe8/edit?usp=sharing"",""ระนอง!J418"")"),0)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IFERROR(__xludf.DUMMYFUNCTION("IMPORTRANGE(""https://docs.google.com/spreadsheets/d/1IYY_tgx_IHuhSq3AJ5eI5OnqOPBNLWSHKh2a30DoXe8/edit?usp=sharing"",""ระนอง!I419"")"),0)</f>
        <v>0</v>
      </c>
      <c r="J524" s="194">
        <f ca="1">IFERROR(__xludf.DUMMYFUNCTION("IMPORTRANGE(""https://docs.google.com/spreadsheets/d/1IYY_tgx_IHuhSq3AJ5eI5OnqOPBNLWSHKh2a30DoXe8/edit?usp=sharing"",""ระนอง!J419"")"),0)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IFERROR(__xludf.DUMMYFUNCTION("IMPORTRANGE(""https://docs.google.com/spreadsheets/d/1IYY_tgx_IHuhSq3AJ5eI5OnqOPBNLWSHKh2a30DoXe8/edit?usp=sharing"",""ระนอง!I422"")"),0)</f>
        <v>0</v>
      </c>
      <c r="J527" s="204">
        <f ca="1">IFERROR(__xludf.DUMMYFUNCTION("IMPORTRANGE(""https://docs.google.com/spreadsheets/d/1IYY_tgx_IHuhSq3AJ5eI5OnqOPBNLWSHKh2a30DoXe8/edit?usp=sharing"",""ระนอง!J422"")"),0)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IFERROR(__xludf.DUMMYFUNCTION("IMPORTRANGE(""https://docs.google.com/spreadsheets/d/1IYY_tgx_IHuhSq3AJ5eI5OnqOPBNLWSHKh2a30DoXe8/edit?usp=sharing"",""ระนอง!I423"")"),0)</f>
        <v>0</v>
      </c>
      <c r="J528" s="204">
        <f ca="1">IFERROR(__xludf.DUMMYFUNCTION("IMPORTRANGE(""https://docs.google.com/spreadsheets/d/1IYY_tgx_IHuhSq3AJ5eI5OnqOPBNLWSHKh2a30DoXe8/edit?usp=sharing"",""ระนอง!J423"")"),0)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IFERROR(__xludf.DUMMYFUNCTION("IMPORTRANGE(""https://docs.google.com/spreadsheets/d/1IYY_tgx_IHuhSq3AJ5eI5OnqOPBNLWSHKh2a30DoXe8/edit?usp=sharing"",""ระนอง!I424"")"),0)</f>
        <v>0</v>
      </c>
      <c r="J529" s="204">
        <f ca="1">IFERROR(__xludf.DUMMYFUNCTION("IMPORTRANGE(""https://docs.google.com/spreadsheets/d/1IYY_tgx_IHuhSq3AJ5eI5OnqOPBNLWSHKh2a30DoXe8/edit?usp=sharing"",""ระนอง!J424"")"),0)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IFERROR(__xludf.DUMMYFUNCTION("IMPORTRANGE(""https://docs.google.com/spreadsheets/d/1IYY_tgx_IHuhSq3AJ5eI5OnqOPBNLWSHKh2a30DoXe8/edit?usp=sharing"",""ระนอง!I425"")"),0)</f>
        <v>0</v>
      </c>
      <c r="J530" s="204">
        <f ca="1">IFERROR(__xludf.DUMMYFUNCTION("IMPORTRANGE(""https://docs.google.com/spreadsheets/d/1IYY_tgx_IHuhSq3AJ5eI5OnqOPBNLWSHKh2a30DoXe8/edit?usp=sharing"",""ระนอง!J425"")"),0)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IFERROR(__xludf.DUMMYFUNCTION("IMPORTRANGE(""https://docs.google.com/spreadsheets/d/1IYY_tgx_IHuhSq3AJ5eI5OnqOPBNLWSHKh2a30DoXe8/edit?usp=sharing"",""ระนอง!I426"")"),0)</f>
        <v>0</v>
      </c>
      <c r="J531" s="204">
        <f ca="1">IFERROR(__xludf.DUMMYFUNCTION("IMPORTRANGE(""https://docs.google.com/spreadsheets/d/1IYY_tgx_IHuhSq3AJ5eI5OnqOPBNLWSHKh2a30DoXe8/edit?usp=sharing"",""ระนอง!J426"")"),0)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IFERROR(__xludf.DUMMYFUNCTION("IMPORTRANGE(""https://docs.google.com/spreadsheets/d/1IYY_tgx_IHuhSq3AJ5eI5OnqOPBNLWSHKh2a30DoXe8/edit?usp=sharing"",""ระนอง!M428"")"),29040)</f>
        <v>29040</v>
      </c>
      <c r="O533" s="418">
        <f t="shared" ref="O533:O537" ca="1" si="118">+IF(L533&gt;0,N533*100/L533,0)</f>
        <v>88.970588235294116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IFERROR(__xludf.DUMMYFUNCTION("IMPORTRANGE(""https://docs.google.com/spreadsheets/d/1IYY_tgx_IHuhSq3AJ5eI5OnqOPBNLWSHKh2a30DoXe8/edit?usp=sharing"",""ระนอง!L429"")"),0)</f>
        <v>0</v>
      </c>
      <c r="M534" s="168"/>
      <c r="N534" s="175">
        <f ca="1">IFERROR(__xludf.DUMMYFUNCTION("IMPORTRANGE(""https://docs.google.com/spreadsheets/d/1IYY_tgx_IHuhSq3AJ5eI5OnqOPBNLWSHKh2a30DoXe8/edit?usp=sharing"",""ระนอง!M429"")"),0)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IFERROR(__xludf.DUMMYFUNCTION("IMPORTRANGE(""https://docs.google.com/spreadsheets/d/1IYY_tgx_IHuhSq3AJ5eI5OnqOPBNLWSHKh2a30DoXe8/edit?usp=sharing"",""ระนอง!M430"")"),29040)</f>
        <v>29040</v>
      </c>
      <c r="O535" s="175">
        <f t="shared" ca="1" si="118"/>
        <v>88.970588235294116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IFERROR(__xludf.DUMMYFUNCTION("IMPORTRANGE(""https://docs.google.com/spreadsheets/d/1IYY_tgx_IHuhSq3AJ5eI5OnqOPBNLWSHKh2a30DoXe8/edit?usp=sharing"",""ระนอง!L431"")"),0)</f>
        <v>0</v>
      </c>
      <c r="M536" s="175"/>
      <c r="N536" s="175">
        <f ca="1">IFERROR(__xludf.DUMMYFUNCTION("IMPORTRANGE(""https://docs.google.com/spreadsheets/d/1IYY_tgx_IHuhSq3AJ5eI5OnqOPBNLWSHKh2a30DoXe8/edit?usp=sharing"",""ระนอง!M431"")"),0)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IFERROR(__xludf.DUMMYFUNCTION("IMPORTRANGE(""https://docs.google.com/spreadsheets/d/1IYY_tgx_IHuhSq3AJ5eI5OnqOPBNLWSHKh2a30DoXe8/edit?usp=sharing"",""ระนอง!L432"")"),32640)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IFERROR(__xludf.DUMMYFUNCTION("IMPORTRANGE(""https://docs.google.com/spreadsheets/d/1IYY_tgx_IHuhSq3AJ5eI5OnqOPBNLWSHKh2a30DoXe8/edit?usp=sharing"",""ระนอง!M432"")"),29040)</f>
        <v>29040</v>
      </c>
      <c r="O537" s="175">
        <f t="shared" ca="1" si="118"/>
        <v>88.970588235294116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IFERROR(__xludf.DUMMYFUNCTION("IMPORTRANGE(""https://docs.google.com/spreadsheets/d/1IYY_tgx_IHuhSq3AJ5eI5OnqOPBNLWSHKh2a30DoXe8/edit?usp=sharing"",""ระนอง!M433"")"),12300)</f>
        <v>12300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IFERROR(__xludf.DUMMYFUNCTION("IMPORTRANGE(""https://docs.google.com/spreadsheets/d/1IYY_tgx_IHuhSq3AJ5eI5OnqOPBNLWSHKh2a30DoXe8/edit?usp=sharing"",""ระนอง!M436"")"),16740)</f>
        <v>16740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IFERROR(__xludf.DUMMYFUNCTION("IMPORTRANGE(""https://docs.google.com/spreadsheets/d/1IYY_tgx_IHuhSq3AJ5eI5OnqOPBNLWSHKh2a30DoXe8/edit?usp=sharing"",""ระนอง!J438"")"),0)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IFERROR(__xludf.DUMMYFUNCTION("IMPORTRANGE(""https://docs.google.com/spreadsheets/d/1IYY_tgx_IHuhSq3AJ5eI5OnqOPBNLWSHKh2a30DoXe8/edit?usp=sharing"",""ระนอง!J439"")"),1)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IFERROR(__xludf.DUMMYFUNCTION("IMPORTRANGE(""https://docs.google.com/spreadsheets/d/1IYY_tgx_IHuhSq3AJ5eI5OnqOPBNLWSHKh2a30DoXe8/edit?usp=sharing"",""ระนอง!J440"")"),1)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IFERROR(__xludf.DUMMYFUNCTION("IMPORTRANGE(""https://docs.google.com/spreadsheets/d/1IYY_tgx_IHuhSq3AJ5eI5OnqOPBNLWSHKh2a30DoXe8/edit?usp=sharing"",""ระนอง!J441"")"),1)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IFERROR(__xludf.DUMMYFUNCTION("IMPORTRANGE(""https://docs.google.com/spreadsheets/d/1IYY_tgx_IHuhSq3AJ5eI5OnqOPBNLWSHKh2a30DoXe8/edit?usp=sharing"",""ระนอง!I442"")"),20)</f>
        <v>20</v>
      </c>
      <c r="J547" s="195">
        <f ca="1">IFERROR(__xludf.DUMMYFUNCTION("IMPORTRANGE(""https://docs.google.com/spreadsheets/d/1IYY_tgx_IHuhSq3AJ5eI5OnqOPBNLWSHKh2a30DoXe8/edit?usp=sharing"",""ระนอง!J442"")"),20)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IFERROR(__xludf.DUMMYFUNCTION("IMPORTRANGE(""https://docs.google.com/spreadsheets/d/1IYY_tgx_IHuhSq3AJ5eI5OnqOPBNLWSHKh2a30DoXe8/edit?usp=sharing"",""ระนอง!J166"")"),0)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IFERROR(__xludf.DUMMYFUNCTION("IMPORTRANGE(""https://docs.google.com/spreadsheets/d/1IYY_tgx_IHuhSq3AJ5eI5OnqOPBNLWSHKh2a30DoXe8/edit?usp=sharing"",""ระนอง!J444"")"),0)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IFERROR(__xludf.DUMMYFUNCTION("IMPORTRANGE(""https://docs.google.com/spreadsheets/d/1IYY_tgx_IHuhSq3AJ5eI5OnqOPBNLWSHKh2a30DoXe8/edit?usp=sharing"",""ระนอง!L447"")"),0)</f>
        <v>0</v>
      </c>
      <c r="M552" s="168"/>
      <c r="N552" s="175">
        <f ca="1">IFERROR(__xludf.DUMMYFUNCTION("IMPORTRANGE(""https://docs.google.com/spreadsheets/d/1IYY_tgx_IHuhSq3AJ5eI5OnqOPBNLWSHKh2a30DoXe8/edit?usp=sharing"",""ระนอง!M447"")"),0)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5">
        <f ca="1">IFERROR(__xludf.DUMMYFUNCTION("IMPORTRANGE(""https://docs.google.com/spreadsheets/d/1IYY_tgx_IHuhSq3AJ5eI5OnqOPBNLWSHKh2a30DoXe8/edit?usp=sharing"",""ระนอง!M448"")"),0)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IFERROR(__xludf.DUMMYFUNCTION("IMPORTRANGE(""https://docs.google.com/spreadsheets/d/1IYY_tgx_IHuhSq3AJ5eI5OnqOPBNLWSHKh2a30DoXe8/edit?usp=sharing"",""ระนอง!L449"")"),0)</f>
        <v>0</v>
      </c>
      <c r="M554" s="175"/>
      <c r="N554" s="175">
        <f ca="1">IFERROR(__xludf.DUMMYFUNCTION("IMPORTRANGE(""https://docs.google.com/spreadsheets/d/1IYY_tgx_IHuhSq3AJ5eI5OnqOPBNLWSHKh2a30DoXe8/edit?usp=sharing"",""ระนอง!M449"")"),0)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IFERROR(__xludf.DUMMYFUNCTION("IMPORTRANGE(""https://docs.google.com/spreadsheets/d/1IYY_tgx_IHuhSq3AJ5eI5OnqOPBNLWSHKh2a30DoXe8/edit?usp=sharing"",""ระนอง!L450"")"),0)</f>
        <v>0</v>
      </c>
      <c r="M555" s="175"/>
      <c r="N555" s="175">
        <f ca="1">IFERROR(__xludf.DUMMYFUNCTION("IMPORTRANGE(""https://docs.google.com/spreadsheets/d/1IYY_tgx_IHuhSq3AJ5eI5OnqOPBNLWSHKh2a30DoXe8/edit?usp=sharing"",""ระนอง!M450"")"),0)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IFERROR(__xludf.DUMMYFUNCTION("IMPORTRANGE(""https://docs.google.com/spreadsheets/d/1IYY_tgx_IHuhSq3AJ5eI5OnqOPBNLWSHKh2a30DoXe8/edit?usp=sharing"",""ระนอง!M451"")"),0)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IFERROR(__xludf.DUMMYFUNCTION("IMPORTRANGE(""https://docs.google.com/spreadsheets/d/1IYY_tgx_IHuhSq3AJ5eI5OnqOPBNLWSHKh2a30DoXe8/edit?usp=sharing"",""ระนอง!M452"")"),0)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IFERROR(__xludf.DUMMYFUNCTION("IMPORTRANGE(""https://docs.google.com/spreadsheets/d/1IYY_tgx_IHuhSq3AJ5eI5OnqOPBNLWSHKh2a30DoXe8/edit?usp=sharing"",""ระนอง!M453"")"),0)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IFERROR(__xludf.DUMMYFUNCTION("IMPORTRANGE(""https://docs.google.com/spreadsheets/d/1IYY_tgx_IHuhSq3AJ5eI5OnqOPBNLWSHKh2a30DoXe8/edit?usp=sharing"",""ระนอง!M454"")"),0)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IFERROR(__xludf.DUMMYFUNCTION("IMPORTRANGE(""https://docs.google.com/spreadsheets/d/1IYY_tgx_IHuhSq3AJ5eI5OnqOPBNLWSHKh2a30DoXe8/edit?usp=sharing"",""ระนอง!I455"")"),0)</f>
        <v>0</v>
      </c>
      <c r="J560" s="166">
        <f ca="1">IFERROR(__xludf.DUMMYFUNCTION("IMPORTRANGE(""https://docs.google.com/spreadsheets/d/1IYY_tgx_IHuhSq3AJ5eI5OnqOPBNLWSHKh2a30DoXe8/edit?usp=sharing"",""ระนอง!J455"")"),0)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IFERROR(__xludf.DUMMYFUNCTION("IMPORTRANGE(""https://docs.google.com/spreadsheets/d/1IYY_tgx_IHuhSq3AJ5eI5OnqOPBNLWSHKh2a30DoXe8/edit?usp=sharing"",""ระนอง!I456"")"),0)</f>
        <v>0</v>
      </c>
      <c r="J561" s="210">
        <f ca="1">IFERROR(__xludf.DUMMYFUNCTION("IMPORTRANGE(""https://docs.google.com/spreadsheets/d/1IYY_tgx_IHuhSq3AJ5eI5OnqOPBNLWSHKh2a30DoXe8/edit?usp=sharing"",""ระนอง!J456"")"),0)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IFERROR(__xludf.DUMMYFUNCTION("IMPORTRANGE(""https://docs.google.com/spreadsheets/d/1IYY_tgx_IHuhSq3AJ5eI5OnqOPBNLWSHKh2a30DoXe8/edit?usp=sharing"",""ระนอง!J459"")"),729)</f>
        <v>729</v>
      </c>
      <c r="K564" s="378">
        <f ca="1">IF(I564&gt;0,J564*100/I564,0)</f>
        <v>182.25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IFERROR(__xludf.DUMMYFUNCTION("IMPORTRANGE(""https://docs.google.com/spreadsheets/d/1IYY_tgx_IHuhSq3AJ5eI5OnqOPBNLWSHKh2a30DoXe8/edit?usp=sharing"",""ระนอง!M459"")"),69772)</f>
        <v>69772</v>
      </c>
      <c r="O564" s="379">
        <f t="shared" ref="O564:O568" ca="1" si="122">+IF(L564&gt;0,N564*100/L564,0)</f>
        <v>55.515595162316998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IFERROR(__xludf.DUMMYFUNCTION("IMPORTRANGE(""https://docs.google.com/spreadsheets/d/1IYY_tgx_IHuhSq3AJ5eI5OnqOPBNLWSHKh2a30DoXe8/edit?usp=sharing"",""ระนอง!L460"")"),0)</f>
        <v>0</v>
      </c>
      <c r="M565" s="168"/>
      <c r="N565" s="175">
        <f ca="1">IFERROR(__xludf.DUMMYFUNCTION("IMPORTRANGE(""https://docs.google.com/spreadsheets/d/1IYY_tgx_IHuhSq3AJ5eI5OnqOPBNLWSHKh2a30DoXe8/edit?usp=sharing"",""ระนอง!M460"")"),0)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5">
        <f ca="1">IFERROR(__xludf.DUMMYFUNCTION("IMPORTRANGE(""https://docs.google.com/spreadsheets/d/1IYY_tgx_IHuhSq3AJ5eI5OnqOPBNLWSHKh2a30DoXe8/edit?usp=sharing"",""ระนอง!M461"")"),69772)</f>
        <v>69772</v>
      </c>
      <c r="O566" s="175">
        <f t="shared" ca="1" si="122"/>
        <v>55.515595162316998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IFERROR(__xludf.DUMMYFUNCTION("IMPORTRANGE(""https://docs.google.com/spreadsheets/d/1IYY_tgx_IHuhSq3AJ5eI5OnqOPBNLWSHKh2a30DoXe8/edit?usp=sharing"",""ระนอง!L462"")"),0)</f>
        <v>0</v>
      </c>
      <c r="M567" s="175"/>
      <c r="N567" s="175">
        <f ca="1">IFERROR(__xludf.DUMMYFUNCTION("IMPORTRANGE(""https://docs.google.com/spreadsheets/d/1IYY_tgx_IHuhSq3AJ5eI5OnqOPBNLWSHKh2a30DoXe8/edit?usp=sharing"",""ระนอง!M462"")"),0)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IFERROR(__xludf.DUMMYFUNCTION("IMPORTRANGE(""https://docs.google.com/spreadsheets/d/1IYY_tgx_IHuhSq3AJ5eI5OnqOPBNLWSHKh2a30DoXe8/edit?usp=sharing"",""ระนอง!L463"")"),125680)</f>
        <v>125680</v>
      </c>
      <c r="M568" s="175"/>
      <c r="N568" s="175">
        <f ca="1">IFERROR(__xludf.DUMMYFUNCTION("IMPORTRANGE(""https://docs.google.com/spreadsheets/d/1IYY_tgx_IHuhSq3AJ5eI5OnqOPBNLWSHKh2a30DoXe8/edit?usp=sharing"",""ระนอง!M463"")"),69772)</f>
        <v>69772</v>
      </c>
      <c r="O568" s="175">
        <f t="shared" ca="1" si="122"/>
        <v>55.515595162316998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IFERROR(__xludf.DUMMYFUNCTION("IMPORTRANGE(""https://docs.google.com/spreadsheets/d/1IYY_tgx_IHuhSq3AJ5eI5OnqOPBNLWSHKh2a30DoXe8/edit?usp=sharing"",""ระนอง!M464"")"),0)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IFERROR(__xludf.DUMMYFUNCTION("IMPORTRANGE(""https://docs.google.com/spreadsheets/d/1IYY_tgx_IHuhSq3AJ5eI5OnqOPBNLWSHKh2a30DoXe8/edit?usp=sharing"",""ระนอง!M465"")"),0)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IFERROR(__xludf.DUMMYFUNCTION("IMPORTRANGE(""https://docs.google.com/spreadsheets/d/1IYY_tgx_IHuhSq3AJ5eI5OnqOPBNLWSHKh2a30DoXe8/edit?usp=sharing"",""ระนอง!M467"")"),16240)</f>
        <v>16240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IFERROR(__xludf.DUMMYFUNCTION("IMPORTRANGE(""https://docs.google.com/spreadsheets/d/1IYY_tgx_IHuhSq3AJ5eI5OnqOPBNLWSHKh2a30DoXe8/edit?usp=sharing"",""ระนอง!J468"")"),729)</f>
        <v>729</v>
      </c>
      <c r="K573" s="208">
        <f ca="1">IF(I573&gt;0,J573*100/I573,0)</f>
        <v>182.25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IFERROR(__xludf.DUMMYFUNCTION("IMPORTRANGE(""https://docs.google.com/spreadsheets/d/1IYY_tgx_IHuhSq3AJ5eI5OnqOPBNLWSHKh2a30DoXe8/edit?usp=sharing"",""ระนอง!I470"")"),0)</f>
        <v>0</v>
      </c>
      <c r="J575" s="204">
        <f ca="1">IFERROR(__xludf.DUMMYFUNCTION("IMPORTRANGE(""https://docs.google.com/spreadsheets/d/1IYY_tgx_IHuhSq3AJ5eI5OnqOPBNLWSHKh2a30DoXe8/edit?usp=sharing"",""ระนอง!J470"")"),4)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IFERROR(__xludf.DUMMYFUNCTION("IMPORTRANGE(""https://docs.google.com/spreadsheets/d/1IYY_tgx_IHuhSq3AJ5eI5OnqOPBNLWSHKh2a30DoXe8/edit?usp=sharing"",""ระนอง!I471"")"),0)</f>
        <v>0</v>
      </c>
      <c r="J576" s="204">
        <f ca="1">IFERROR(__xludf.DUMMYFUNCTION("IMPORTRANGE(""https://docs.google.com/spreadsheets/d/1IYY_tgx_IHuhSq3AJ5eI5OnqOPBNLWSHKh2a30DoXe8/edit?usp=sharing"",""ระนอง!J471"")"),119)</f>
        <v>119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IFERROR(__xludf.DUMMYFUNCTION("IMPORTRANGE(""https://docs.google.com/spreadsheets/d/1IYY_tgx_IHuhSq3AJ5eI5OnqOPBNLWSHKh2a30DoXe8/edit?usp=sharing"",""ระนอง!I472"")"),0)</f>
        <v>0</v>
      </c>
      <c r="J577" s="195">
        <f ca="1">IFERROR(__xludf.DUMMYFUNCTION("IMPORTRANGE(""https://docs.google.com/spreadsheets/d/1IYY_tgx_IHuhSq3AJ5eI5OnqOPBNLWSHKh2a30DoXe8/edit?usp=sharing"",""ระนอง!J472"")"),610)</f>
        <v>610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IFERROR(__xludf.DUMMYFUNCTION("IMPORTRANGE(""https://docs.google.com/spreadsheets/d/1IYY_tgx_IHuhSq3AJ5eI5OnqOPBNLWSHKh2a30DoXe8/edit?usp=sharing"",""ระนอง!I473"")"),0)</f>
        <v>0</v>
      </c>
      <c r="J578" s="204">
        <f ca="1">IFERROR(__xludf.DUMMYFUNCTION("IMPORTRANGE(""https://docs.google.com/spreadsheets/d/1IYY_tgx_IHuhSq3AJ5eI5OnqOPBNLWSHKh2a30DoXe8/edit?usp=sharing"",""ระนอง!J473"")"),0)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IFERROR(__xludf.DUMMYFUNCTION("IMPORTRANGE(""https://docs.google.com/spreadsheets/d/1IYY_tgx_IHuhSq3AJ5eI5OnqOPBNLWSHKh2a30DoXe8/edit?usp=sharing"",""ระนอง!I474"")"),0)</f>
        <v>0</v>
      </c>
      <c r="J579" s="204">
        <f ca="1">IFERROR(__xludf.DUMMYFUNCTION("IMPORTRANGE(""https://docs.google.com/spreadsheets/d/1IYY_tgx_IHuhSq3AJ5eI5OnqOPBNLWSHKh2a30DoXe8/edit?usp=sharing"",""ระนอง!J474"")"),0)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IFERROR(__xludf.DUMMYFUNCTION("IMPORTRANGE(""https://docs.google.com/spreadsheets/d/1IYY_tgx_IHuhSq3AJ5eI5OnqOPBNLWSHKh2a30DoXe8/edit?usp=sharing"",""ระนอง!L476"")"),0)</f>
        <v>0</v>
      </c>
      <c r="M581" s="168"/>
      <c r="N581" s="175">
        <f ca="1">IFERROR(__xludf.DUMMYFUNCTION("IMPORTRANGE(""https://docs.google.com/spreadsheets/d/1IYY_tgx_IHuhSq3AJ5eI5OnqOPBNLWSHKh2a30DoXe8/edit?usp=sharing"",""ระนอง!M476"")"),0)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5">
        <f ca="1">IFERROR(__xludf.DUMMYFUNCTION("IMPORTRANGE(""https://docs.google.com/spreadsheets/d/1IYY_tgx_IHuhSq3AJ5eI5OnqOPBNLWSHKh2a30DoXe8/edit?usp=sharing"",""ระนอง!M477"")"),0)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IFERROR(__xludf.DUMMYFUNCTION("IMPORTRANGE(""https://docs.google.com/spreadsheets/d/1IYY_tgx_IHuhSq3AJ5eI5OnqOPBNLWSHKh2a30DoXe8/edit?usp=sharing"",""ระนอง!L478"")"),0)</f>
        <v>0</v>
      </c>
      <c r="M583" s="175"/>
      <c r="N583" s="175">
        <f ca="1">IFERROR(__xludf.DUMMYFUNCTION("IMPORTRANGE(""https://docs.google.com/spreadsheets/d/1IYY_tgx_IHuhSq3AJ5eI5OnqOPBNLWSHKh2a30DoXe8/edit?usp=sharing"",""ระนอง!M478"")"),0)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IFERROR(__xludf.DUMMYFUNCTION("IMPORTRANGE(""https://docs.google.com/spreadsheets/d/1IYY_tgx_IHuhSq3AJ5eI5OnqOPBNLWSHKh2a30DoXe8/edit?usp=sharing"",""ระนอง!L479"")"),0)</f>
        <v>0</v>
      </c>
      <c r="M584" s="175"/>
      <c r="N584" s="175">
        <f ca="1">IFERROR(__xludf.DUMMYFUNCTION("IMPORTRANGE(""https://docs.google.com/spreadsheets/d/1IYY_tgx_IHuhSq3AJ5eI5OnqOPBNLWSHKh2a30DoXe8/edit?usp=sharing"",""ระนอง!M479"")"),0)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IFERROR(__xludf.DUMMYFUNCTION("IMPORTRANGE(""https://docs.google.com/spreadsheets/d/1IYY_tgx_IHuhSq3AJ5eI5OnqOPBNLWSHKh2a30DoXe8/edit?usp=sharing"",""ระนอง!M480"")"),0)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IFERROR(__xludf.DUMMYFUNCTION("IMPORTRANGE(""https://docs.google.com/spreadsheets/d/1IYY_tgx_IHuhSq3AJ5eI5OnqOPBNLWSHKh2a30DoXe8/edit?usp=sharing"",""ระนอง!M481"")"),0)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IFERROR(__xludf.DUMMYFUNCTION("IMPORTRANGE(""https://docs.google.com/spreadsheets/d/1IYY_tgx_IHuhSq3AJ5eI5OnqOPBNLWSHKh2a30DoXe8/edit?usp=sharing"",""ระนอง!M482"")"),0)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IFERROR(__xludf.DUMMYFUNCTION("IMPORTRANGE(""https://docs.google.com/spreadsheets/d/1IYY_tgx_IHuhSq3AJ5eI5OnqOPBNLWSHKh2a30DoXe8/edit?usp=sharing"",""ระนอง!M483"")"),0)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4">
        <f ca="1">IFERROR(__xludf.DUMMYFUNCTION("IMPORTRANGE(""https://docs.google.com/spreadsheets/d/1IYY_tgx_IHuhSq3AJ5eI5OnqOPBNLWSHKh2a30DoXe8/edit?usp=sharing"",""ระนอง!J484"")"),0)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4">
        <f ca="1">IFERROR(__xludf.DUMMYFUNCTION("IMPORTRANGE(""https://docs.google.com/spreadsheets/d/1IYY_tgx_IHuhSq3AJ5eI5OnqOPBNLWSHKh2a30DoXe8/edit?usp=sharing"",""ระนอง!J485"")"),0)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4">
        <f ca="1">IFERROR(__xludf.DUMMYFUNCTION("IMPORTRANGE(""https://docs.google.com/spreadsheets/d/1IYY_tgx_IHuhSq3AJ5eI5OnqOPBNLWSHKh2a30DoXe8/edit?usp=sharing"",""ระนอง!J486"")"),0)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4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4">
        <f ca="1">IFERROR(__xludf.DUMMYFUNCTION("IMPORTRANGE(""https://docs.google.com/spreadsheets/d/1IYY_tgx_IHuhSq3AJ5eI5OnqOPBNLWSHKh2a30DoXe8/edit?usp=sharing"",""ระนอง!J488"")"),0)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4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4">
        <f ca="1">IFERROR(__xludf.DUMMYFUNCTION("IMPORTRANGE(""https://docs.google.com/spreadsheets/d/1IYY_tgx_IHuhSq3AJ5eI5OnqOPBNLWSHKh2a30DoXe8/edit?usp=sharing"",""ระนอง!J490"")"),0)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IFERROR(__xludf.DUMMYFUNCTION("IMPORTRANGE(""https://docs.google.com/spreadsheets/d/1IYY_tgx_IHuhSq3AJ5eI5OnqOPBNLWSHKh2a30DoXe8/edit?usp=sharing"",""ระนอง!I491"")"),0)</f>
        <v>0</v>
      </c>
      <c r="J596" s="247">
        <f ca="1">IFERROR(__xludf.DUMMYFUNCTION("IMPORTRANGE(""https://docs.google.com/spreadsheets/d/1IYY_tgx_IHuhSq3AJ5eI5OnqOPBNLWSHKh2a30DoXe8/edit?usp=sharing"",""ระนอง!J491"")"),0)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4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IFERROR(__xludf.DUMMYFUNCTION("IMPORTRANGE(""https://docs.google.com/spreadsheets/d/1IYY_tgx_IHuhSq3AJ5eI5OnqOPBNLWSHKh2a30DoXe8/edit?usp=sharing"",""ระนอง!L492"")"),7750)</f>
        <v>7750</v>
      </c>
      <c r="M597" s="418"/>
      <c r="N597" s="418">
        <f ca="1">IFERROR(__xludf.DUMMYFUNCTION("IMPORTRANGE(""https://docs.google.com/spreadsheets/d/1IYY_tgx_IHuhSq3AJ5eI5OnqOPBNLWSHKh2a30DoXe8/edit?usp=sharing"",""ระนอง!M492"")"),5000)</f>
        <v>5000</v>
      </c>
      <c r="O597" s="418">
        <f t="shared" ref="O597:O601" ca="1" si="126">+IF(L597&gt;0,N597*100/L597,0)</f>
        <v>64.516129032258064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IFERROR(__xludf.DUMMYFUNCTION("IMPORTRANGE(""https://docs.google.com/spreadsheets/d/1IYY_tgx_IHuhSq3AJ5eI5OnqOPBNLWSHKh2a30DoXe8/edit?usp=sharing"",""ระนอง!L493"")"),0)</f>
        <v>0</v>
      </c>
      <c r="M598" s="168"/>
      <c r="N598" s="175">
        <f ca="1">IFERROR(__xludf.DUMMYFUNCTION("IMPORTRANGE(""https://docs.google.com/spreadsheets/d/1IYY_tgx_IHuhSq3AJ5eI5OnqOPBNLWSHKh2a30DoXe8/edit?usp=sharing"",""ระนอง!M493"")"),0)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IFERROR(__xludf.DUMMYFUNCTION("IMPORTRANGE(""https://docs.google.com/spreadsheets/d/1IYY_tgx_IHuhSq3AJ5eI5OnqOPBNLWSHKh2a30DoXe8/edit?usp=sharing"",""ระนอง!L494"")"),7750)</f>
        <v>7750</v>
      </c>
      <c r="M599" s="169"/>
      <c r="N599" s="175">
        <f ca="1">IFERROR(__xludf.DUMMYFUNCTION("IMPORTRANGE(""https://docs.google.com/spreadsheets/d/1IYY_tgx_IHuhSq3AJ5eI5OnqOPBNLWSHKh2a30DoXe8/edit?usp=sharing"",""ระนอง!M494"")"),5000)</f>
        <v>5000</v>
      </c>
      <c r="O599" s="175">
        <f t="shared" ca="1" si="126"/>
        <v>64.516129032258064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IFERROR(__xludf.DUMMYFUNCTION("IMPORTRANGE(""https://docs.google.com/spreadsheets/d/1IYY_tgx_IHuhSq3AJ5eI5OnqOPBNLWSHKh2a30DoXe8/edit?usp=sharing"",""ระนอง!L495"")"),0)</f>
        <v>0</v>
      </c>
      <c r="M600" s="175"/>
      <c r="N600" s="175">
        <f ca="1">IFERROR(__xludf.DUMMYFUNCTION("IMPORTRANGE(""https://docs.google.com/spreadsheets/d/1IYY_tgx_IHuhSq3AJ5eI5OnqOPBNLWSHKh2a30DoXe8/edit?usp=sharing"",""ระนอง!M495"")"),0)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IFERROR(__xludf.DUMMYFUNCTION("IMPORTRANGE(""https://docs.google.com/spreadsheets/d/1IYY_tgx_IHuhSq3AJ5eI5OnqOPBNLWSHKh2a30DoXe8/edit?usp=sharing"",""ระนอง!L496"")"),7750)</f>
        <v>7750</v>
      </c>
      <c r="M601" s="175"/>
      <c r="N601" s="175">
        <f ca="1">IFERROR(__xludf.DUMMYFUNCTION("IMPORTRANGE(""https://docs.google.com/spreadsheets/d/1IYY_tgx_IHuhSq3AJ5eI5OnqOPBNLWSHKh2a30DoXe8/edit?usp=sharing"",""ระนอง!M496"")"),5000)</f>
        <v>5000</v>
      </c>
      <c r="O601" s="175">
        <f t="shared" ca="1" si="126"/>
        <v>64.516129032258064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IFERROR(__xludf.DUMMYFUNCTION("IMPORTRANGE(""https://docs.google.com/spreadsheets/d/1IYY_tgx_IHuhSq3AJ5eI5OnqOPBNLWSHKh2a30DoXe8/edit?usp=sharing"",""ระนอง!M497"")"),0)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IFERROR(__xludf.DUMMYFUNCTION("IMPORTRANGE(""https://docs.google.com/spreadsheets/d/1IYY_tgx_IHuhSq3AJ5eI5OnqOPBNLWSHKh2a30DoXe8/edit?usp=sharing"",""ระนอง!M498"")"),0)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IFERROR(__xludf.DUMMYFUNCTION("IMPORTRANGE(""https://docs.google.com/spreadsheets/d/1IYY_tgx_IHuhSq3AJ5eI5OnqOPBNLWSHKh2a30DoXe8/edit?usp=sharing"",""ระนอง!M499"")"),0)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IFERROR(__xludf.DUMMYFUNCTION("IMPORTRANGE(""https://docs.google.com/spreadsheets/d/1IYY_tgx_IHuhSq3AJ5eI5OnqOPBNLWSHKh2a30DoXe8/edit?usp=sharing"",""ระนอง!M500"")"),5000)</f>
        <v>5000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IFERROR(__xludf.DUMMYFUNCTION("IMPORTRANGE(""https://docs.google.com/spreadsheets/d/1IYY_tgx_IHuhSq3AJ5eI5OnqOPBNLWSHKh2a30DoXe8/edit?usp=sharing"",""ระนอง!J502"")"),0)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IFERROR(__xludf.DUMMYFUNCTION("IMPORTRANGE(""https://docs.google.com/spreadsheets/d/1IYY_tgx_IHuhSq3AJ5eI5OnqOPBNLWSHKh2a30DoXe8/edit?usp=sharing"",""ระนอง!J503"")"),0)</f>
        <v>0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IFERROR(__xludf.DUMMYFUNCTION("IMPORTRANGE(""https://docs.google.com/spreadsheets/d/1IYY_tgx_IHuhSq3AJ5eI5OnqOPBNLWSHKh2a30DoXe8/edit?usp=sharing"",""ระนอง!J166"")"),0)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IFERROR(__xludf.DUMMYFUNCTION("IMPORTRANGE(""https://docs.google.com/spreadsheets/d/1IYY_tgx_IHuhSq3AJ5eI5OnqOPBNLWSHKh2a30DoXe8/edit?usp=sharing"",""ระนอง!J166"")"),0)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IFERROR(__xludf.DUMMYFUNCTION("IMPORTRANGE(""https://docs.google.com/spreadsheets/d/1IYY_tgx_IHuhSq3AJ5eI5OnqOPBNLWSHKh2a30DoXe8/edit?usp=sharing"",""ระนอง!I506"")"),50)</f>
        <v>50</v>
      </c>
      <c r="J611" s="166">
        <f ca="1">IFERROR(__xludf.DUMMYFUNCTION("IMPORTRANGE(""https://docs.google.com/spreadsheets/d/1IYY_tgx_IHuhSq3AJ5eI5OnqOPBNLWSHKh2a30DoXe8/edit?usp=sharing"",""ระนอง!J506"")"),0)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IFERROR(__xludf.DUMMYFUNCTION("IMPORTRANGE(""https://docs.google.com/spreadsheets/d/1IYY_tgx_IHuhSq3AJ5eI5OnqOPBNLWSHKh2a30DoXe8/edit?usp=sharing"",""ระนอง!I507"")"),0)</f>
        <v>0</v>
      </c>
      <c r="J612" s="204">
        <f ca="1">IFERROR(__xludf.DUMMYFUNCTION("IMPORTRANGE(""https://docs.google.com/spreadsheets/d/1IYY_tgx_IHuhSq3AJ5eI5OnqOPBNLWSHKh2a30DoXe8/edit?usp=sharing"",""ระนอง!J507"")"),0)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IFERROR(__xludf.DUMMYFUNCTION("IMPORTRANGE(""https://docs.google.com/spreadsheets/d/1IYY_tgx_IHuhSq3AJ5eI5OnqOPBNLWSHKh2a30DoXe8/edit?usp=sharing"",""ระนอง!I508"")"),0)</f>
        <v>0</v>
      </c>
      <c r="J613" s="204">
        <f ca="1">IFERROR(__xludf.DUMMYFUNCTION("IMPORTRANGE(""https://docs.google.com/spreadsheets/d/1IYY_tgx_IHuhSq3AJ5eI5OnqOPBNLWSHKh2a30DoXe8/edit?usp=sharing"",""ระนอง!J508"")"),0)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IFERROR(__xludf.DUMMYFUNCTION("IMPORTRANGE(""https://docs.google.com/spreadsheets/d/1IYY_tgx_IHuhSq3AJ5eI5OnqOPBNLWSHKh2a30DoXe8/edit?usp=sharing"",""ระนอง!I509"")"),0)</f>
        <v>0</v>
      </c>
      <c r="J614" s="204">
        <f ca="1">IFERROR(__xludf.DUMMYFUNCTION("IMPORTRANGE(""https://docs.google.com/spreadsheets/d/1IYY_tgx_IHuhSq3AJ5eI5OnqOPBNLWSHKh2a30DoXe8/edit?usp=sharing"",""ระนอง!J509"")"),0)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IFERROR(__xludf.DUMMYFUNCTION("IMPORTRANGE(""https://docs.google.com/spreadsheets/d/1IYY_tgx_IHuhSq3AJ5eI5OnqOPBNLWSHKh2a30DoXe8/edit?usp=sharing"",""ระนอง!I510"")"),0)</f>
        <v>0</v>
      </c>
      <c r="J615" s="204">
        <f ca="1">IFERROR(__xludf.DUMMYFUNCTION("IMPORTRANGE(""https://docs.google.com/spreadsheets/d/1IYY_tgx_IHuhSq3AJ5eI5OnqOPBNLWSHKh2a30DoXe8/edit?usp=sharing"",""ระนอง!J510"")"),0)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IFERROR(__xludf.DUMMYFUNCTION("IMPORTRANGE(""https://docs.google.com/spreadsheets/d/1IYY_tgx_IHuhSq3AJ5eI5OnqOPBNLWSHKh2a30DoXe8/edit?usp=sharing"",""ระนอง!I511"")"),0)</f>
        <v>0</v>
      </c>
      <c r="J616" s="204">
        <f ca="1">IFERROR(__xludf.DUMMYFUNCTION("IMPORTRANGE(""https://docs.google.com/spreadsheets/d/1IYY_tgx_IHuhSq3AJ5eI5OnqOPBNLWSHKh2a30DoXe8/edit?usp=sharing"",""ระนอง!J511"")"),0)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IFERROR(__xludf.DUMMYFUNCTION("IMPORTRANGE(""https://docs.google.com/spreadsheets/d/1IYY_tgx_IHuhSq3AJ5eI5OnqOPBNLWSHKh2a30DoXe8/edit?usp=sharing"",""ระนอง!I512"")"),0)</f>
        <v>0</v>
      </c>
      <c r="J617" s="194">
        <f ca="1">IFERROR(__xludf.DUMMYFUNCTION("IMPORTRANGE(""https://docs.google.com/spreadsheets/d/1IYY_tgx_IHuhSq3AJ5eI5OnqOPBNLWSHKh2a30DoXe8/edit?usp=sharing"",""ระนอง!J512"")"),0)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IFERROR(__xludf.DUMMYFUNCTION("IMPORTRANGE(""https://docs.google.com/spreadsheets/d/1IYY_tgx_IHuhSq3AJ5eI5OnqOPBNLWSHKh2a30DoXe8/edit?usp=sharing"",""ระนอง!I513"")"),0)</f>
        <v>0</v>
      </c>
      <c r="J618" s="195">
        <f ca="1">IFERROR(__xludf.DUMMYFUNCTION("IMPORTRANGE(""https://docs.google.com/spreadsheets/d/1IYY_tgx_IHuhSq3AJ5eI5OnqOPBNLWSHKh2a30DoXe8/edit?usp=sharing"",""ระนอง!J513"")"),0)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IFERROR(__xludf.DUMMYFUNCTION("IMPORTRANGE(""https://docs.google.com/spreadsheets/d/1IYY_tgx_IHuhSq3AJ5eI5OnqOPBNLWSHKh2a30DoXe8/edit?usp=sharing"",""ระนอง!I514"")"),0)</f>
        <v>0</v>
      </c>
      <c r="J619" s="195">
        <f ca="1">IFERROR(__xludf.DUMMYFUNCTION("IMPORTRANGE(""https://docs.google.com/spreadsheets/d/1IYY_tgx_IHuhSq3AJ5eI5OnqOPBNLWSHKh2a30DoXe8/edit?usp=sharing"",""ระนอง!J514"")"),0)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IFERROR(__xludf.DUMMYFUNCTION("IMPORTRANGE(""https://docs.google.com/spreadsheets/d/1IYY_tgx_IHuhSq3AJ5eI5OnqOPBNLWSHKh2a30DoXe8/edit?usp=sharing"",""ระนอง!I515"")"),0)</f>
        <v>0</v>
      </c>
      <c r="J620" s="209">
        <f ca="1">IFERROR(__xludf.DUMMYFUNCTION("IMPORTRANGE(""https://docs.google.com/spreadsheets/d/1IYY_tgx_IHuhSq3AJ5eI5OnqOPBNLWSHKh2a30DoXe8/edit?usp=sharing"",""ระนอง!J515"")"),0)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IFERROR(__xludf.DUMMYFUNCTION("IMPORTRANGE(""https://docs.google.com/spreadsheets/d/1IYY_tgx_IHuhSq3AJ5eI5OnqOPBNLWSHKh2a30DoXe8/edit?usp=sharing"",""ระนอง!I516"")"),0)</f>
        <v>0</v>
      </c>
      <c r="J621" s="209">
        <f ca="1">IFERROR(__xludf.DUMMYFUNCTION("IMPORTRANGE(""https://docs.google.com/spreadsheets/d/1IYY_tgx_IHuhSq3AJ5eI5OnqOPBNLWSHKh2a30DoXe8/edit?usp=sharing"",""ระนอง!J516"")"),0)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IFERROR(__xludf.DUMMYFUNCTION("IMPORTRANGE(""https://docs.google.com/spreadsheets/d/1IYY_tgx_IHuhSq3AJ5eI5OnqOPBNLWSHKh2a30DoXe8/edit?usp=sharing"",""ระนอง!I517"")"),0)</f>
        <v>0</v>
      </c>
      <c r="J622" s="195">
        <f ca="1">IFERROR(__xludf.DUMMYFUNCTION("IMPORTRANGE(""https://docs.google.com/spreadsheets/d/1IYY_tgx_IHuhSq3AJ5eI5OnqOPBNLWSHKh2a30DoXe8/edit?usp=sharing"",""ระนอง!J517"")"),0)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IFERROR(__xludf.DUMMYFUNCTION("IMPORTRANGE(""https://docs.google.com/spreadsheets/d/1IYY_tgx_IHuhSq3AJ5eI5OnqOPBNLWSHKh2a30DoXe8/edit?usp=sharing"",""ระนอง!I518"")"),0)</f>
        <v>0</v>
      </c>
      <c r="J623" s="195">
        <f ca="1">IFERROR(__xludf.DUMMYFUNCTION("IMPORTRANGE(""https://docs.google.com/spreadsheets/d/1IYY_tgx_IHuhSq3AJ5eI5OnqOPBNLWSHKh2a30DoXe8/edit?usp=sharing"",""ระนอง!J518"")"),0)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IFERROR(__xludf.DUMMYFUNCTION("IMPORTRANGE(""https://docs.google.com/spreadsheets/d/1IYY_tgx_IHuhSq3AJ5eI5OnqOPBNLWSHKh2a30DoXe8/edit?usp=sharing"",""ระนอง!I519"")"),0)</f>
        <v>0</v>
      </c>
      <c r="J624" s="194">
        <f ca="1">IFERROR(__xludf.DUMMYFUNCTION("IMPORTRANGE(""https://docs.google.com/spreadsheets/d/1IYY_tgx_IHuhSq3AJ5eI5OnqOPBNLWSHKh2a30DoXe8/edit?usp=sharing"",""ระนอง!J519"")"),0)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IFERROR(__xludf.DUMMYFUNCTION("IMPORTRANGE(""https://docs.google.com/spreadsheets/d/1IYY_tgx_IHuhSq3AJ5eI5OnqOPBNLWSHKh2a30DoXe8/edit?usp=sharing"",""ระนอง!I520"")"),0)</f>
        <v>0</v>
      </c>
      <c r="J625" s="195">
        <f ca="1">IFERROR(__xludf.DUMMYFUNCTION("IMPORTRANGE(""https://docs.google.com/spreadsheets/d/1IYY_tgx_IHuhSq3AJ5eI5OnqOPBNLWSHKh2a30DoXe8/edit?usp=sharing"",""ระนอง!J520"")"),0)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IFERROR(__xludf.DUMMYFUNCTION("IMPORTRANGE(""https://docs.google.com/spreadsheets/d/1IYY_tgx_IHuhSq3AJ5eI5OnqOPBNLWSHKh2a30DoXe8/edit?usp=sharing"",""ระนอง!I521"")"),0)</f>
        <v>0</v>
      </c>
      <c r="J626" s="195">
        <f ca="1">IFERROR(__xludf.DUMMYFUNCTION("IMPORTRANGE(""https://docs.google.com/spreadsheets/d/1IYY_tgx_IHuhSq3AJ5eI5OnqOPBNLWSHKh2a30DoXe8/edit?usp=sharing"",""ระนอง!J521"")"),0)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IFERROR(__xludf.DUMMYFUNCTION("IMPORTRANGE(""https://docs.google.com/spreadsheets/d/1IYY_tgx_IHuhSq3AJ5eI5OnqOPBNLWSHKh2a30DoXe8/edit?usp=sharing"",""ระนอง!J523"")"),921314.3)</f>
        <v>921314.3</v>
      </c>
      <c r="K628" s="348">
        <f t="shared" ref="K628:K635" ca="1" si="129">IF(I628&gt;0,J628*100/I628,0)</f>
        <v>76.156363276234089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IFERROR(__xludf.DUMMYFUNCTION("IMPORTRANGE(""https://docs.google.com/spreadsheets/d/1IYY_tgx_IHuhSq3AJ5eI5OnqOPBNLWSHKh2a30DoXe8/edit?usp=sharing"",""ระนอง!J524"")"),92)</f>
        <v>92</v>
      </c>
      <c r="K629" s="348">
        <f t="shared" ca="1" si="129"/>
        <v>76.033057851239676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IFERROR(__xludf.DUMMYFUNCTION("IMPORTRANGE(""https://docs.google.com/spreadsheets/d/1IYY_tgx_IHuhSq3AJ5eI5OnqOPBNLWSHKh2a30DoXe8/edit?usp=sharing"",""ระนอง!J525"")"),311179.95)</f>
        <v>311179.95</v>
      </c>
      <c r="K630" s="348">
        <f t="shared" ca="1" si="129"/>
        <v>14.111839442922282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IFERROR(__xludf.DUMMYFUNCTION("IMPORTRANGE(""https://docs.google.com/spreadsheets/d/1IYY_tgx_IHuhSq3AJ5eI5OnqOPBNLWSHKh2a30DoXe8/edit?usp=sharing"",""ระนอง!J526"")"),51)</f>
        <v>51</v>
      </c>
      <c r="K631" s="348">
        <f t="shared" ca="1" si="129"/>
        <v>38.059701492537314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IFERROR(__xludf.DUMMYFUNCTION("IMPORTRANGE(""https://docs.google.com/spreadsheets/d/1IYY_tgx_IHuhSq3AJ5eI5OnqOPBNLWSHKh2a30DoXe8/edit?usp=sharing"",""ระนอง!J529"")"),900000)</f>
        <v>900000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IFERROR(__xludf.DUMMYFUNCTION("IMPORTRANGE(""https://docs.google.com/spreadsheets/d/1IYY_tgx_IHuhSq3AJ5eI5OnqOPBNLWSHKh2a30DoXe8/edit?usp=sharing"",""ระนอง!I530"")"),30)</f>
        <v>30</v>
      </c>
      <c r="J635" s="518">
        <f ca="1">IFERROR(__xludf.DUMMYFUNCTION("IMPORTRANGE(""https://docs.google.com/spreadsheets/d/1IYY_tgx_IHuhSq3AJ5eI5OnqOPBNLWSHKh2a30DoXe8/edit?usp=sharing"",""ระนอง!J530"")"),30)</f>
        <v>30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IFERROR(__xludf.DUMMYFUNCTION("IMPORTRANGE(""https://docs.google.com/spreadsheets/d/1IYY_tgx_IHuhSq3AJ5eI5OnqOPBNLWSHKh2a30DoXe8/edit?usp=sharing"",""ระนอง!J541"")"),0)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IFERROR(__xludf.DUMMYFUNCTION("IMPORTRANGE(""https://docs.google.com/spreadsheets/d/1IYY_tgx_IHuhSq3AJ5eI5OnqOPBNLWSHKh2a30DoXe8/edit?usp=sharing"",""ระนอง!J542"")"),0)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IFERROR(__xludf.DUMMYFUNCTION("IMPORTRANGE(""https://docs.google.com/spreadsheets/d/1IYY_tgx_IHuhSq3AJ5eI5OnqOPBNLWSHKh2a30DoXe8/edit?usp=sharing"",""ระนอง!I543"")"),0)</f>
        <v>0</v>
      </c>
      <c r="J648" s="547">
        <f ca="1">IFERROR(__xludf.DUMMYFUNCTION("IMPORTRANGE(""https://docs.google.com/spreadsheets/d/1IYY_tgx_IHuhSq3AJ5eI5OnqOPBNLWSHKh2a30DoXe8/edit?usp=sharing"",""ระนอง!J543"")"),0)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IFERROR(__xludf.DUMMYFUNCTION("IMPORTRANGE(""https://docs.google.com/spreadsheets/d/1IYY_tgx_IHuhSq3AJ5eI5OnqOPBNLWSHKh2a30DoXe8/edit?usp=sharing"",""ระนอง!L543"")"),0)</f>
        <v>0</v>
      </c>
      <c r="M648" s="534"/>
      <c r="N648" s="549">
        <f ca="1">IFERROR(__xludf.DUMMYFUNCTION("IMPORTRANGE(""https://docs.google.com/spreadsheets/d/1IYY_tgx_IHuhSq3AJ5eI5OnqOPBNLWSHKh2a30DoXe8/edit?usp=sharing"",""ระนอง!M543"")"),0)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IFERROR(__xludf.DUMMYFUNCTION("IMPORTRANGE(""https://docs.google.com/spreadsheets/d/1IYY_tgx_IHuhSq3AJ5eI5OnqOPBNLWSHKh2a30DoXe8/edit?usp=sharing"",""ระนอง!I544"")"),0)</f>
        <v>0</v>
      </c>
      <c r="J649" s="547">
        <f ca="1">IFERROR(__xludf.DUMMYFUNCTION("IMPORTRANGE(""https://docs.google.com/spreadsheets/d/1IYY_tgx_IHuhSq3AJ5eI5OnqOPBNLWSHKh2a30DoXe8/edit?usp=sharing"",""ระนอง!J544"")"),0)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IFERROR(__xludf.DUMMYFUNCTION("IMPORTRANGE(""https://docs.google.com/spreadsheets/d/1IYY_tgx_IHuhSq3AJ5eI5OnqOPBNLWSHKh2a30DoXe8/edit?usp=sharing"",""ระนอง!L544"")"),0)</f>
        <v>0</v>
      </c>
      <c r="M649" s="534"/>
      <c r="N649" s="549">
        <f ca="1">IFERROR(__xludf.DUMMYFUNCTION("IMPORTRANGE(""https://docs.google.com/spreadsheets/d/1IYY_tgx_IHuhSq3AJ5eI5OnqOPBNLWSHKh2a30DoXe8/edit?usp=sharing"",""ระนอง!M544"")"),0)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IFERROR(__xludf.DUMMYFUNCTION("IMPORTRANGE(""https://docs.google.com/spreadsheets/d/1IYY_tgx_IHuhSq3AJ5eI5OnqOPBNLWSHKh2a30DoXe8/edit?usp=sharing"",""ระนอง!I545"")"),0)</f>
        <v>0</v>
      </c>
      <c r="J650" s="547">
        <f ca="1">IFERROR(__xludf.DUMMYFUNCTION("IMPORTRANGE(""https://docs.google.com/spreadsheets/d/1IYY_tgx_IHuhSq3AJ5eI5OnqOPBNLWSHKh2a30DoXe8/edit?usp=sharing"",""ระนอง!J545"")"),0)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IFERROR(__xludf.DUMMYFUNCTION("IMPORTRANGE(""https://docs.google.com/spreadsheets/d/1IYY_tgx_IHuhSq3AJ5eI5OnqOPBNLWSHKh2a30DoXe8/edit?usp=sharing"",""ระนอง!L545"")"),0)</f>
        <v>0</v>
      </c>
      <c r="M650" s="534"/>
      <c r="N650" s="549">
        <f ca="1">IFERROR(__xludf.DUMMYFUNCTION("IMPORTRANGE(""https://docs.google.com/spreadsheets/d/1IYY_tgx_IHuhSq3AJ5eI5OnqOPBNLWSHKh2a30DoXe8/edit?usp=sharing"",""ระนอง!M545"")"),0)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IFERROR(__xludf.DUMMYFUNCTION("IMPORTRANGE(""https://docs.google.com/spreadsheets/d/1IYY_tgx_IHuhSq3AJ5eI5OnqOPBNLWSHKh2a30DoXe8/edit?usp=sharing"",""ระนอง!I546"")"),0)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IFERROR(__xludf.DUMMYFUNCTION("IMPORTRANGE(""https://docs.google.com/spreadsheets/d/1IYY_tgx_IHuhSq3AJ5eI5OnqOPBNLWSHKh2a30DoXe8/edit?usp=sharing"",""ระนอง!L546"")"),0)</f>
        <v>0</v>
      </c>
      <c r="M651" s="534"/>
      <c r="N651" s="549">
        <f ca="1">IFERROR(__xludf.DUMMYFUNCTION("IMPORTRANGE(""https://docs.google.com/spreadsheets/d/1IYY_tgx_IHuhSq3AJ5eI5OnqOPBNLWSHKh2a30DoXe8/edit?usp=sharing"",""ระนอง!M546"")"),0)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IFERROR(__xludf.DUMMYFUNCTION("IMPORTRANGE(""https://docs.google.com/spreadsheets/d/1IYY_tgx_IHuhSq3AJ5eI5OnqOPBNLWSHKh2a30DoXe8/edit?usp=sharing"",""ระนอง!J547"")"),0)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IFERROR(__xludf.DUMMYFUNCTION("IMPORTRANGE(""https://docs.google.com/spreadsheets/d/1IYY_tgx_IHuhSq3AJ5eI5OnqOPBNLWSHKh2a30DoXe8/edit?usp=sharing"",""ระนอง!J548"")"),0)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IFERROR(__xludf.DUMMYFUNCTION("IMPORTRANGE(""https://docs.google.com/spreadsheets/d/1IYY_tgx_IHuhSq3AJ5eI5OnqOPBNLWSHKh2a30DoXe8/edit?usp=sharing"",""ระนอง!J550"")"),0)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IFERROR(__xludf.DUMMYFUNCTION("IMPORTRANGE(""https://docs.google.com/spreadsheets/d/1IYY_tgx_IHuhSq3AJ5eI5OnqOPBNLWSHKh2a30DoXe8/edit?usp=sharing"",""ระนอง!J551"")"),0)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IFERROR(__xludf.DUMMYFUNCTION("IMPORTRANGE(""https://docs.google.com/spreadsheets/d/1IYY_tgx_IHuhSq3AJ5eI5OnqOPBNLWSHKh2a30DoXe8/edit?usp=sharing"",""ระนอง!J552"")"),0)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IFERROR(__xludf.DUMMYFUNCTION("IMPORTRANGE(""https://docs.google.com/spreadsheets/d/1IYY_tgx_IHuhSq3AJ5eI5OnqOPBNLWSHKh2a30DoXe8/edit?usp=sharing"",""ระนอง!J553"")"),0)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IFERROR(__xludf.DUMMYFUNCTION("IMPORTRANGE(""https://docs.google.com/spreadsheets/d/1IYY_tgx_IHuhSq3AJ5eI5OnqOPBNLWSHKh2a30DoXe8/edit?usp=sharing"",""ระนอง!J554"")"),0)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IFERROR(__xludf.DUMMYFUNCTION("IMPORTRANGE(""https://docs.google.com/spreadsheets/d/1IYY_tgx_IHuhSq3AJ5eI5OnqOPBNLWSHKh2a30DoXe8/edit?usp=sharing"",""ระนอง!J555"")"),0)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IFERROR(__xludf.DUMMYFUNCTION("IMPORTRANGE(""https://docs.google.com/spreadsheets/d/1IYY_tgx_IHuhSq3AJ5eI5OnqOPBNLWSHKh2a30DoXe8/edit?usp=sharing"",""ระนอง!J556"")"),0)</f>
        <v>0</v>
      </c>
      <c r="K661" s="548"/>
      <c r="L661" s="535">
        <f ca="1">IFERROR(__xludf.DUMMYFUNCTION("IMPORTRANGE(""https://docs.google.com/spreadsheets/d/1IYY_tgx_IHuhSq3AJ5eI5OnqOPBNLWSHKh2a30DoXe8/edit?usp=sharing"",""ระนอง!L556"")"),0)</f>
        <v>0</v>
      </c>
      <c r="M661" s="534"/>
      <c r="N661" s="549">
        <f ca="1">IFERROR(__xludf.DUMMYFUNCTION("IMPORTRANGE(""https://docs.google.com/spreadsheets/d/1IYY_tgx_IHuhSq3AJ5eI5OnqOPBNLWSHKh2a30DoXe8/edit?usp=sharing"",""ระนอง!M556"")"),0)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IFERROR(__xludf.DUMMYFUNCTION("IMPORTRANGE(""https://docs.google.com/spreadsheets/d/1IYY_tgx_IHuhSq3AJ5eI5OnqOPBNLWSHKh2a30DoXe8/edit?usp=sharing"",""ระนอง!J557"")"),0)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IFERROR(__xludf.DUMMYFUNCTION("IMPORTRANGE(""https://docs.google.com/spreadsheets/d/1IYY_tgx_IHuhSq3AJ5eI5OnqOPBNLWSHKh2a30DoXe8/edit?usp=sharing"",""ระนอง!I558"")"),0)</f>
        <v>0</v>
      </c>
      <c r="J663" s="547">
        <f ca="1">IFERROR(__xludf.DUMMYFUNCTION("IMPORTRANGE(""https://docs.google.com/spreadsheets/d/1IYY_tgx_IHuhSq3AJ5eI5OnqOPBNLWSHKh2a30DoXe8/edit?usp=sharing"",""ระนอง!J558"")"),0)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IFERROR(__xludf.DUMMYFUNCTION("IMPORTRANGE(""https://docs.google.com/spreadsheets/d/1IYY_tgx_IHuhSq3AJ5eI5OnqOPBNLWSHKh2a30DoXe8/edit?usp=sharing"",""ระนอง!I560"")"),0)</f>
        <v>0</v>
      </c>
      <c r="J665" s="547">
        <f ca="1">IFERROR(__xludf.DUMMYFUNCTION("IMPORTRANGE(""https://docs.google.com/spreadsheets/d/1IYY_tgx_IHuhSq3AJ5eI5OnqOPBNLWSHKh2a30DoXe8/edit?usp=sharing"",""ระนอง!J560"")"),0)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IFERROR(__xludf.DUMMYFUNCTION("IMPORTRANGE(""https://docs.google.com/spreadsheets/d/1IYY_tgx_IHuhSq3AJ5eI5OnqOPBNLWSHKh2a30DoXe8/edit?usp=sharing"",""ระนอง!L560"")"),0)</f>
        <v>0</v>
      </c>
      <c r="M665" s="534"/>
      <c r="N665" s="549">
        <f ca="1">IFERROR(__xludf.DUMMYFUNCTION("IMPORTRANGE(""https://docs.google.com/spreadsheets/d/1IYY_tgx_IHuhSq3AJ5eI5OnqOPBNLWSHKh2a30DoXe8/edit?usp=sharing"",""ระนอง!M560"")"),0)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IFERROR(__xludf.DUMMYFUNCTION("IMPORTRANGE(""https://docs.google.com/spreadsheets/d/1IYY_tgx_IHuhSq3AJ5eI5OnqOPBNLWSHKh2a30DoXe8/edit?usp=sharing"",""ระนอง!J561"")"),0)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IFERROR(__xludf.DUMMYFUNCTION("IMPORTRANGE(""https://docs.google.com/spreadsheets/d/1IYY_tgx_IHuhSq3AJ5eI5OnqOPBNLWSHKh2a30DoXe8/edit?usp=sharing"",""ระนอง!J562"")"),0)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IFERROR(__xludf.DUMMYFUNCTION("IMPORTRANGE(""https://docs.google.com/spreadsheets/d/1IYY_tgx_IHuhSq3AJ5eI5OnqOPBNLWSHKh2a30DoXe8/edit?usp=sharing"",""ระนอง!I563"")"),0)</f>
        <v>0</v>
      </c>
      <c r="J668" s="547">
        <f ca="1">IFERROR(__xludf.DUMMYFUNCTION("IMPORTRANGE(""https://docs.google.com/spreadsheets/d/1IYY_tgx_IHuhSq3AJ5eI5OnqOPBNLWSHKh2a30DoXe8/edit?usp=sharing"",""ระนอง!J563"")"),0)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IFERROR(__xludf.DUMMYFUNCTION("IMPORTRANGE(""https://docs.google.com/spreadsheets/d/1IYY_tgx_IHuhSq3AJ5eI5OnqOPBNLWSHKh2a30DoXe8/edit?usp=sharing"",""ระนอง!L563"")"),0)</f>
        <v>0</v>
      </c>
      <c r="M668" s="534"/>
      <c r="N668" s="549">
        <f ca="1">IFERROR(__xludf.DUMMYFUNCTION("IMPORTRANGE(""https://docs.google.com/spreadsheets/d/1IYY_tgx_IHuhSq3AJ5eI5OnqOPBNLWSHKh2a30DoXe8/edit?usp=sharing"",""ระนอง!M563"")"),0)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IFERROR(__xludf.DUMMYFUNCTION("IMPORTRANGE(""https://docs.google.com/spreadsheets/d/1IYY_tgx_IHuhSq3AJ5eI5OnqOPBNLWSHKh2a30DoXe8/edit?usp=sharing"",""ระนอง!J564"")"),0)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IFERROR(__xludf.DUMMYFUNCTION("IMPORTRANGE(""https://docs.google.com/spreadsheets/d/1IYY_tgx_IHuhSq3AJ5eI5OnqOPBNLWSHKh2a30DoXe8/edit?usp=sharing"",""ระนอง!J565"")"),0)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IFERROR(__xludf.DUMMYFUNCTION("IMPORTRANGE(""https://docs.google.com/spreadsheets/d/1IYY_tgx_IHuhSq3AJ5eI5OnqOPBNLWSHKh2a30DoXe8/edit?usp=sharing"",""ระนอง!I566"")"),0)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IFERROR(__xludf.DUMMYFUNCTION("IMPORTRANGE(""https://docs.google.com/spreadsheets/d/1IYY_tgx_IHuhSq3AJ5eI5OnqOPBNLWSHKh2a30DoXe8/edit?usp=sharing"",""ระนอง!L566"")"),0)</f>
        <v>0</v>
      </c>
      <c r="M671" s="534"/>
      <c r="N671" s="549">
        <f ca="1">IFERROR(__xludf.DUMMYFUNCTION("IMPORTRANGE(""https://docs.google.com/spreadsheets/d/1IYY_tgx_IHuhSq3AJ5eI5OnqOPBNLWSHKh2a30DoXe8/edit?usp=sharing"",""ระนอง!M566"")"),0)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IFERROR(__xludf.DUMMYFUNCTION("IMPORTRANGE(""https://docs.google.com/spreadsheets/d/1IYY_tgx_IHuhSq3AJ5eI5OnqOPBNLWSHKh2a30DoXe8/edit?usp=sharing"",""ระนอง!J567"")"),0)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IFERROR(__xludf.DUMMYFUNCTION("IMPORTRANGE(""https://docs.google.com/spreadsheets/d/1IYY_tgx_IHuhSq3AJ5eI5OnqOPBNLWSHKh2a30DoXe8/edit?usp=sharing"",""ระนอง!J568"")"),0)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IFERROR(__xludf.DUMMYFUNCTION("IMPORTRANGE(""https://docs.google.com/spreadsheets/d/1IYY_tgx_IHuhSq3AJ5eI5OnqOPBNLWSHKh2a30DoXe8/edit?usp=sharing"",""ระนอง!J569"")"),0)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IFERROR(__xludf.DUMMYFUNCTION("IMPORTRANGE(""https://docs.google.com/spreadsheets/d/1IYY_tgx_IHuhSq3AJ5eI5OnqOPBNLWSHKh2a30DoXe8/edit?usp=sharing"",""ระนอง!J570"")"),0)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IFERROR(__xludf.DUMMYFUNCTION("IMPORTRANGE(""https://docs.google.com/spreadsheets/d/1IYY_tgx_IHuhSq3AJ5eI5OnqOPBNLWSHKh2a30DoXe8/edit?usp=sharing"",""ระนอง!J571"")"),0)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IFERROR(__xludf.DUMMYFUNCTION("IMPORTRANGE(""https://docs.google.com/spreadsheets/d/1IYY_tgx_IHuhSq3AJ5eI5OnqOPBNLWSHKh2a30DoXe8/edit?usp=sharing"",""ระนอง!J572"")"),0)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284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5801131</v>
      </c>
      <c r="M8" s="23">
        <f t="shared" ca="1" si="0"/>
        <v>4226782</v>
      </c>
      <c r="N8" s="23">
        <f t="shared" ca="1" si="0"/>
        <v>5194536.3600000003</v>
      </c>
      <c r="O8" s="22">
        <f t="shared" ref="O8:O16" ca="1" si="1">IF(L8&gt;0,N8*100/L8,0)</f>
        <v>89.543510739543734</v>
      </c>
      <c r="P8" s="22">
        <f t="shared" ref="P8:P16" ca="1" si="2">IF(M8&gt;0,N8*100/M8,0)</f>
        <v>122.89577177152738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5801131</v>
      </c>
      <c r="M10" s="30">
        <f t="shared" ca="1" si="4"/>
        <v>4226782</v>
      </c>
      <c r="N10" s="30">
        <f t="shared" ca="1" si="4"/>
        <v>5194536.3600000003</v>
      </c>
      <c r="O10" s="29">
        <f t="shared" ca="1" si="1"/>
        <v>89.543510739543734</v>
      </c>
      <c r="P10" s="29">
        <f t="shared" ca="1" si="2"/>
        <v>122.89577177152738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4734131</v>
      </c>
      <c r="M12" s="38">
        <f t="shared" ca="1" si="6"/>
        <v>3159782</v>
      </c>
      <c r="N12" s="38">
        <f t="shared" ca="1" si="6"/>
        <v>4133536.3600000003</v>
      </c>
      <c r="O12" s="38">
        <f t="shared" ca="1" si="1"/>
        <v>87.313518785179383</v>
      </c>
      <c r="P12" s="38">
        <f t="shared" ca="1" si="2"/>
        <v>130.81713738479428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2079100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2655031</v>
      </c>
      <c r="M14" s="38">
        <f t="shared" si="8"/>
        <v>0</v>
      </c>
      <c r="N14" s="38">
        <f t="shared" ca="1" si="8"/>
        <v>1405329.2</v>
      </c>
      <c r="O14" s="41">
        <f t="shared" ca="1" si="1"/>
        <v>52.930801937905812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1067000</v>
      </c>
      <c r="M16" s="38">
        <f t="shared" ca="1" si="10"/>
        <v>1067000</v>
      </c>
      <c r="N16" s="38">
        <f t="shared" ca="1" si="10"/>
        <v>1061000</v>
      </c>
      <c r="O16" s="50">
        <f t="shared" ca="1" si="1"/>
        <v>99.437675726335513</v>
      </c>
      <c r="P16" s="50">
        <f t="shared" ca="1" si="2"/>
        <v>99.437675726335513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4158667</v>
      </c>
      <c r="M18" s="23">
        <f t="shared" ca="1" si="11"/>
        <v>4226782</v>
      </c>
      <c r="N18" s="23">
        <f t="shared" ca="1" si="11"/>
        <v>3789207.16</v>
      </c>
      <c r="O18" s="22">
        <f t="shared" ref="O18:O20" ca="1" si="12">IF(L18&gt;0,N18*100/L18,0)</f>
        <v>91.115907092344727</v>
      </c>
      <c r="P18" s="22">
        <f t="shared" ref="P18:P26" ca="1" si="13">IF(M18&gt;0,N18*100/M18,0)</f>
        <v>89.647565452866985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4158667</v>
      </c>
      <c r="M20" s="30">
        <f t="shared" ca="1" si="15"/>
        <v>4226782</v>
      </c>
      <c r="N20" s="30">
        <f t="shared" ca="1" si="15"/>
        <v>3789207.16</v>
      </c>
      <c r="O20" s="29">
        <f t="shared" ca="1" si="12"/>
        <v>91.115907092344727</v>
      </c>
      <c r="P20" s="29">
        <f t="shared" ca="1" si="13"/>
        <v>89.647565452866985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3091667</v>
      </c>
      <c r="M22" s="42">
        <f t="shared" ca="1" si="18"/>
        <v>3159782</v>
      </c>
      <c r="N22" s="41">
        <f t="shared" ca="1" si="18"/>
        <v>2728207.16</v>
      </c>
      <c r="O22" s="41">
        <f t="shared" ca="1" si="17"/>
        <v>88.24388784432476</v>
      </c>
      <c r="P22" s="41">
        <f t="shared" ca="1" si="13"/>
        <v>86.34162609952206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2079100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1012567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1067000</v>
      </c>
      <c r="M26" s="50">
        <f t="shared" ca="1" si="22"/>
        <v>1067000</v>
      </c>
      <c r="N26" s="50">
        <f t="shared" ca="1" si="22"/>
        <v>1061000</v>
      </c>
      <c r="O26" s="50">
        <f t="shared" ca="1" si="17"/>
        <v>99.437675726335513</v>
      </c>
      <c r="P26" s="50">
        <f t="shared" ca="1" si="13"/>
        <v>99.437675726335513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1642464</v>
      </c>
      <c r="M28" s="23">
        <f t="shared" si="23"/>
        <v>0</v>
      </c>
      <c r="N28" s="23">
        <f t="shared" ca="1" si="23"/>
        <v>1405329.2</v>
      </c>
      <c r="O28" s="22">
        <f t="shared" ref="O28:O30" ca="1" si="24">IF(L28&gt;0,N28*100/L28,0)</f>
        <v>85.562252810411678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1642464</v>
      </c>
      <c r="M30" s="30">
        <f t="shared" si="27"/>
        <v>0</v>
      </c>
      <c r="N30" s="30">
        <f t="shared" ca="1" si="27"/>
        <v>1405329.2</v>
      </c>
      <c r="O30" s="29">
        <f t="shared" ca="1" si="24"/>
        <v>85.562252810411678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1642464</v>
      </c>
      <c r="M32" s="41">
        <f t="shared" si="30"/>
        <v>0</v>
      </c>
      <c r="N32" s="41">
        <f t="shared" ca="1" si="30"/>
        <v>1405329.2</v>
      </c>
      <c r="O32" s="41">
        <f t="shared" ca="1" si="29"/>
        <v>85.562252810411678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1642464</v>
      </c>
      <c r="M34" s="41">
        <f t="shared" si="32"/>
        <v>0</v>
      </c>
      <c r="N34" s="41">
        <f t="shared" ca="1" si="32"/>
        <v>1405329.2</v>
      </c>
      <c r="O34" s="41">
        <f t="shared" ca="1" si="29"/>
        <v>85.562252810411678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4158667</v>
      </c>
      <c r="M37" s="55">
        <f t="shared" ca="1" si="33"/>
        <v>4226782</v>
      </c>
      <c r="N37" s="55">
        <f t="shared" ca="1" si="33"/>
        <v>3789207.16</v>
      </c>
      <c r="O37" s="56">
        <f t="shared" ca="1" si="29"/>
        <v>91.115907092344727</v>
      </c>
      <c r="P37" s="56">
        <f t="shared" ca="1" si="25"/>
        <v>89.647565452866985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674100</v>
      </c>
      <c r="M41" s="79">
        <f t="shared" ca="1" si="34"/>
        <v>674100</v>
      </c>
      <c r="N41" s="79">
        <f t="shared" ca="1" si="34"/>
        <v>607219.6</v>
      </c>
      <c r="O41" s="78">
        <f t="shared" ref="O41:O43" ca="1" si="35">IF(L41&gt;0,N41*100/L41,0)</f>
        <v>90.078564011274295</v>
      </c>
      <c r="P41" s="78">
        <f t="shared" ref="P41:P43" ca="1" si="36">IF(M41&gt;0,N41*100/M41,0)</f>
        <v>90.078564011274295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674100</v>
      </c>
      <c r="M43" s="79">
        <f t="shared" ca="1" si="38"/>
        <v>674100</v>
      </c>
      <c r="N43" s="79">
        <f t="shared" ca="1" si="38"/>
        <v>607219.6</v>
      </c>
      <c r="O43" s="78">
        <f t="shared" ca="1" si="35"/>
        <v>90.078564011274295</v>
      </c>
      <c r="P43" s="78">
        <f t="shared" ca="1" si="36"/>
        <v>90.078564011274295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674100</v>
      </c>
      <c r="M45" s="91">
        <f ca="1">IFERROR(__xludf.DUMMYFUNCTION("IMPORTRANGE(""https://docs.google.com/spreadsheets/d/1Yj_ptqi66GCucihVvJfMjLAmec39IyEx_6qawtMGysU/edit?usp=sharing"",""สบก!Q92"")"),674100)</f>
        <v>674100</v>
      </c>
      <c r="N45" s="91">
        <f ca="1">IFERROR(__xludf.DUMMYFUNCTION("IMPORTRANGE(""https://docs.google.com/spreadsheets/d/1Yj_ptqi66GCucihVvJfMjLAmec39IyEx_6qawtMGysU/edit?usp=sharing"",""สบก!R92"")"),607219.6)</f>
        <v>607219.6</v>
      </c>
      <c r="O45" s="92">
        <f ca="1">IF(L45&gt;0,N45*100/L45,0)</f>
        <v>90.078564011274295</v>
      </c>
      <c r="P45" s="92">
        <f ca="1">IF(M45&gt;0,N45*100/M45,0)</f>
        <v>90.078564011274295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IFERROR(__xludf.DUMMYFUNCTION("IMPORTRANGE(""https://docs.google.com/spreadsheets/d/1Yj_ptqi66GCucihVvJfMjLAmec39IyEx_6qawtMGysU/edit?usp=sharing"",""สบก!M92"")"),674100)</f>
        <v>674100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513815</v>
      </c>
      <c r="N53" s="125">
        <f t="shared" ca="1" si="39"/>
        <v>509533</v>
      </c>
      <c r="O53" s="124">
        <f t="shared" ref="O53:O55" ca="1" si="40">IF(L53&gt;0,N53*100/L53,0)</f>
        <v>101.9066</v>
      </c>
      <c r="P53" s="124">
        <f t="shared" ref="P53:P55" ca="1" si="41">IF(M53&gt;0,N53*100/M53,0)</f>
        <v>99.166626120296215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513815</v>
      </c>
      <c r="N55" s="125">
        <f t="shared" ca="1" si="43"/>
        <v>509533</v>
      </c>
      <c r="O55" s="124">
        <f t="shared" ca="1" si="40"/>
        <v>101.9066</v>
      </c>
      <c r="P55" s="124">
        <f t="shared" ca="1" si="41"/>
        <v>99.166626120296215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IFERROR(__xludf.DUMMYFUNCTION("IMPORTRANGE(""https://docs.google.com/spreadsheets/d/1Yj_ptqi66GCucihVvJfMjLAmec39IyEx_6qawtMGysU/edit?usp=sharing"",""สบก!Z92"")"),513815)</f>
        <v>513815</v>
      </c>
      <c r="N57" s="91">
        <f ca="1">IFERROR(__xludf.DUMMYFUNCTION("IMPORTRANGE(""https://docs.google.com/spreadsheets/d/1Yj_ptqi66GCucihVvJfMjLAmec39IyEx_6qawtMGysU/edit?usp=sharing"",""สบก!AA92"")"),509533)</f>
        <v>509533</v>
      </c>
      <c r="O57" s="92">
        <f ca="1">IF(L57&gt;0,N57*100/L57,0)</f>
        <v>101.9066</v>
      </c>
      <c r="P57" s="92">
        <f ca="1">IF(M57&gt;0,N57*100/M57,0)</f>
        <v>99.166626120296215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IFERROR(__xludf.DUMMYFUNCTION("IMPORTRANGE(""https://docs.google.com/spreadsheets/d/1Yj_ptqi66GCucihVvJfMjLAmec39IyEx_6qawtMGysU/edit?usp=sharing"",""สบก!V92"")"),500000)</f>
        <v>500000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IFERROR(__xludf.DUMMYFUNCTION("IMPORTRANGE(""https://docs.google.com/spreadsheets/d/1Yj_ptqi66GCucihVvJfMjLAmec39IyEx_6qawtMGysU/edit?usp=sharing"",""สบก!AI92"")"),0)</f>
        <v>0</v>
      </c>
      <c r="N70" s="174">
        <f ca="1">IFERROR(__xludf.DUMMYFUNCTION("IMPORTRANGE(""https://docs.google.com/spreadsheets/d/1Yj_ptqi66GCucihVvJfMjLAmec39IyEx_6qawtMGysU/edit?usp=sharing"",""สบก!AJ92"")"),0)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IFERROR(__xludf.DUMMYFUNCTION("IMPORTRANGE(""https://docs.google.com/spreadsheets/d/1Yj_ptqi66GCucihVvJfMjLAmec39IyEx_6qawtMGysU/edit?usp=sharing"",""สบก!AE92"")"),0)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IFERROR(__xludf.DUMMYFUNCTION("IMPORTRANGE(""https://docs.google.com/spreadsheets/d/1Yj_ptqi66GCucihVvJfMjLAmec39IyEx_6qawtMGysU/edit?usp=sharing"",""สบก!AF92"")"),0)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IFERROR(__xludf.DUMMYFUNCTION("IMPORTRANGE(""https://docs.google.com/spreadsheets/d/1IYY_tgx_IHuhSq3AJ5eI5OnqOPBNLWSHKh2a30DoXe8/edit?usp=sharing"",""สงขลา!J16"")"),0)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IFERROR(__xludf.DUMMYFUNCTION("IMPORTRANGE(""https://docs.google.com/spreadsheets/d/1IYY_tgx_IHuhSq3AJ5eI5OnqOPBNLWSHKh2a30DoXe8/edit?usp=sharing"",""สงขลา!J17"")"),0)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IFERROR(__xludf.DUMMYFUNCTION("IMPORTRANGE(""https://docs.google.com/spreadsheets/d/1IYY_tgx_IHuhSq3AJ5eI5OnqOPBNLWSHKh2a30DoXe8/edit?usp=sharing"",""สงขลา!J18"")"),0)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IFERROR(__xludf.DUMMYFUNCTION("IMPORTRANGE(""https://docs.google.com/spreadsheets/d/1IYY_tgx_IHuhSq3AJ5eI5OnqOPBNLWSHKh2a30DoXe8/edit?usp=sharing"",""สงขลา!J19"")"),0)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IFERROR(__xludf.DUMMYFUNCTION("IMPORTRANGE(""https://docs.google.com/spreadsheets/d/1IYY_tgx_IHuhSq3AJ5eI5OnqOPBNLWSHKh2a30DoXe8/edit?usp=sharing"",""สงขลา!I20"")"),0)</f>
        <v>0</v>
      </c>
      <c r="J80" s="207">
        <f ca="1">IFERROR(__xludf.DUMMYFUNCTION("IMPORTRANGE(""https://docs.google.com/spreadsheets/d/1IYY_tgx_IHuhSq3AJ5eI5OnqOPBNLWSHKh2a30DoXe8/edit?usp=sharing"",""สงขลา!J20"")"),0)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IFERROR(__xludf.DUMMYFUNCTION("IMPORTRANGE(""https://docs.google.com/spreadsheets/d/1IYY_tgx_IHuhSq3AJ5eI5OnqOPBNLWSHKh2a30DoXe8/edit?usp=sharing"",""สงขลา!I21"")"),0)</f>
        <v>0</v>
      </c>
      <c r="J81" s="207">
        <f ca="1">IFERROR(__xludf.DUMMYFUNCTION("IMPORTRANGE(""https://docs.google.com/spreadsheets/d/1IYY_tgx_IHuhSq3AJ5eI5OnqOPBNLWSHKh2a30DoXe8/edit?usp=sharing"",""สงขลา!J21"")"),0)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IFERROR(__xludf.DUMMYFUNCTION("IMPORTRANGE(""https://docs.google.com/spreadsheets/d/1IYY_tgx_IHuhSq3AJ5eI5OnqOPBNLWSHKh2a30DoXe8/edit?usp=sharing"",""สงขลา!I22"")"),0)</f>
        <v>0</v>
      </c>
      <c r="J82" s="210">
        <f ca="1">IFERROR(__xludf.DUMMYFUNCTION("IMPORTRANGE(""https://docs.google.com/spreadsheets/d/1IYY_tgx_IHuhSq3AJ5eI5OnqOPBNLWSHKh2a30DoXe8/edit?usp=sharing"",""สงขลา!J22"")"),0)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IFERROR(__xludf.DUMMYFUNCTION("IMPORTRANGE(""https://docs.google.com/spreadsheets/d/1IYY_tgx_IHuhSq3AJ5eI5OnqOPBNLWSHKh2a30DoXe8/edit?usp=sharing"",""สงขลา!I23"")"),0)</f>
        <v>0</v>
      </c>
      <c r="J83" s="210">
        <f ca="1">IFERROR(__xludf.DUMMYFUNCTION("IMPORTRANGE(""https://docs.google.com/spreadsheets/d/1IYY_tgx_IHuhSq3AJ5eI5OnqOPBNLWSHKh2a30DoXe8/edit?usp=sharing"",""สงขลา!J23"")"),0)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IFERROR(__xludf.DUMMYFUNCTION("IMPORTRANGE(""https://docs.google.com/spreadsheets/d/1IYY_tgx_IHuhSq3AJ5eI5OnqOPBNLWSHKh2a30DoXe8/edit?usp=sharing"",""สงขลา!I24"")"),0)</f>
        <v>0</v>
      </c>
      <c r="J84" s="195">
        <f ca="1">IFERROR(__xludf.DUMMYFUNCTION("IMPORTRANGE(""https://docs.google.com/spreadsheets/d/1IYY_tgx_IHuhSq3AJ5eI5OnqOPBNLWSHKh2a30DoXe8/edit?usp=sharing"",""สงขลา!J24"")"),0)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IFERROR(__xludf.DUMMYFUNCTION("IMPORTRANGE(""https://docs.google.com/spreadsheets/d/1IYY_tgx_IHuhSq3AJ5eI5OnqOPBNLWSHKh2a30DoXe8/edit?usp=sharing"",""สงขลา!I25"")"),0)</f>
        <v>0</v>
      </c>
      <c r="J85" s="195">
        <f ca="1">IFERROR(__xludf.DUMMYFUNCTION("IMPORTRANGE(""https://docs.google.com/spreadsheets/d/1IYY_tgx_IHuhSq3AJ5eI5OnqOPBNLWSHKh2a30DoXe8/edit?usp=sharing"",""สงขลา!J25"")"),0)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IFERROR(__xludf.DUMMYFUNCTION("IMPORTRANGE(""https://docs.google.com/spreadsheets/d/1IYY_tgx_IHuhSq3AJ5eI5OnqOPBNLWSHKh2a30DoXe8/edit?usp=sharing"",""สงขลา!I26"")"),0)</f>
        <v>0</v>
      </c>
      <c r="J86" s="210">
        <f ca="1">IFERROR(__xludf.DUMMYFUNCTION("IMPORTRANGE(""https://docs.google.com/spreadsheets/d/1IYY_tgx_IHuhSq3AJ5eI5OnqOPBNLWSHKh2a30DoXe8/edit?usp=sharing"",""สงขลา!J26"")"),0)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IFERROR(__xludf.DUMMYFUNCTION("IMPORTRANGE(""https://docs.google.com/spreadsheets/d/1IYY_tgx_IHuhSq3AJ5eI5OnqOPBNLWSHKh2a30DoXe8/edit?usp=sharing"",""สงขลา!I27"")"),0)</f>
        <v>0</v>
      </c>
      <c r="J87" s="210">
        <f ca="1">IFERROR(__xludf.DUMMYFUNCTION("IMPORTRANGE(""https://docs.google.com/spreadsheets/d/1IYY_tgx_IHuhSq3AJ5eI5OnqOPBNLWSHKh2a30DoXe8/edit?usp=sharing"",""สงขลา!J27"")"),0)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IFERROR(__xludf.DUMMYFUNCTION("IMPORTRANGE(""https://docs.google.com/spreadsheets/d/1IYY_tgx_IHuhSq3AJ5eI5OnqOPBNLWSHKh2a30DoXe8/edit?usp=sharing"",""สงขลา!I28"")"),0)</f>
        <v>0</v>
      </c>
      <c r="J88" s="210">
        <f ca="1">IFERROR(__xludf.DUMMYFUNCTION("IMPORTRANGE(""https://docs.google.com/spreadsheets/d/1IYY_tgx_IHuhSq3AJ5eI5OnqOPBNLWSHKh2a30DoXe8/edit?usp=sharing"",""สงขลา!J28"")"),0)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IFERROR(__xludf.DUMMYFUNCTION("IMPORTRANGE(""https://docs.google.com/spreadsheets/d/1IYY_tgx_IHuhSq3AJ5eI5OnqOPBNLWSHKh2a30DoXe8/edit?usp=sharing"",""สงขลา!J29"")"),0)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IFERROR(__xludf.DUMMYFUNCTION("IMPORTRANGE(""https://docs.google.com/spreadsheets/d/1IYY_tgx_IHuhSq3AJ5eI5OnqOPBNLWSHKh2a30DoXe8/edit?usp=sharing"",""สงขลา!J30"")"),0)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IFERROR(__xludf.DUMMYFUNCTION("IMPORTRANGE(""https://docs.google.com/spreadsheets/d/1Yj_ptqi66GCucihVvJfMjLAmec39IyEx_6qawtMGysU/edit?usp=sharing"",""สบก!AR92"")"),0)</f>
        <v>0</v>
      </c>
      <c r="N98" s="174">
        <f ca="1">IFERROR(__xludf.DUMMYFUNCTION("IMPORTRANGE(""https://docs.google.com/spreadsheets/d/1Yj_ptqi66GCucihVvJfMjLAmec39IyEx_6qawtMGysU/edit?usp=sharing"",""สบก!AS92"")"),0)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IFERROR(__xludf.DUMMYFUNCTION("IMPORTRANGE(""https://docs.google.com/spreadsheets/d/1Yj_ptqi66GCucihVvJfMjLAmec39IyEx_6qawtMGysU/edit?usp=sharing"",""สบก!AO92"")"),0)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IFERROR(__xludf.DUMMYFUNCTION("IMPORTRANGE(""https://docs.google.com/spreadsheets/d/1IYY_tgx_IHuhSq3AJ5eI5OnqOPBNLWSHKh2a30DoXe8/edit?usp=sharing"",""สงขลา!J39"")"),0)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IFERROR(__xludf.DUMMYFUNCTION("IMPORTRANGE(""https://docs.google.com/spreadsheets/d/1IYY_tgx_IHuhSq3AJ5eI5OnqOPBNLWSHKh2a30DoXe8/edit?usp=sharing"",""สงขลา!J40"")"),0)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IFERROR(__xludf.DUMMYFUNCTION("IMPORTRANGE(""https://docs.google.com/spreadsheets/d/1IYY_tgx_IHuhSq3AJ5eI5OnqOPBNLWSHKh2a30DoXe8/edit?usp=sharing"",""สงขลา!J41"")"),0)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IFERROR(__xludf.DUMMYFUNCTION("IMPORTRANGE(""https://docs.google.com/spreadsheets/d/1IYY_tgx_IHuhSq3AJ5eI5OnqOPBNLWSHKh2a30DoXe8/edit?usp=sharing"",""สงขลา!J42"")"),0)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IFERROR(__xludf.DUMMYFUNCTION("IMPORTRANGE(""https://docs.google.com/spreadsheets/d/1IYY_tgx_IHuhSq3AJ5eI5OnqOPBNLWSHKh2a30DoXe8/edit?usp=sharing"",""สงขลา!I43"")"),0)</f>
        <v>0</v>
      </c>
      <c r="J108" s="210">
        <f ca="1">IFERROR(__xludf.DUMMYFUNCTION("IMPORTRANGE(""https://docs.google.com/spreadsheets/d/1IYY_tgx_IHuhSq3AJ5eI5OnqOPBNLWSHKh2a30DoXe8/edit?usp=sharing"",""สงขลา!J43"")"),0)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IFERROR(__xludf.DUMMYFUNCTION("IMPORTRANGE(""https://docs.google.com/spreadsheets/d/1IYY_tgx_IHuhSq3AJ5eI5OnqOPBNLWSHKh2a30DoXe8/edit?usp=sharing"",""สงขลา!I44"")"),0)</f>
        <v>0</v>
      </c>
      <c r="J109" s="210">
        <f ca="1">IFERROR(__xludf.DUMMYFUNCTION("IMPORTRANGE(""https://docs.google.com/spreadsheets/d/1IYY_tgx_IHuhSq3AJ5eI5OnqOPBNLWSHKh2a30DoXe8/edit?usp=sharing"",""สงขลา!J44"")"),0)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IFERROR(__xludf.DUMMYFUNCTION("IMPORTRANGE(""https://docs.google.com/spreadsheets/d/1IYY_tgx_IHuhSq3AJ5eI5OnqOPBNLWSHKh2a30DoXe8/edit?usp=sharing"",""สงขลา!I45"")"),0)</f>
        <v>0</v>
      </c>
      <c r="J110" s="210">
        <f ca="1">IFERROR(__xludf.DUMMYFUNCTION("IMPORTRANGE(""https://docs.google.com/spreadsheets/d/1IYY_tgx_IHuhSq3AJ5eI5OnqOPBNLWSHKh2a30DoXe8/edit?usp=sharing"",""สงขลา!J45"")"),0)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IFERROR(__xludf.DUMMYFUNCTION("IMPORTRANGE(""https://docs.google.com/spreadsheets/d/1IYY_tgx_IHuhSq3AJ5eI5OnqOPBNLWSHKh2a30DoXe8/edit?usp=sharing"",""สงขลา!I46"")"),0)</f>
        <v>0</v>
      </c>
      <c r="J111" s="210">
        <f ca="1">IFERROR(__xludf.DUMMYFUNCTION("IMPORTRANGE(""https://docs.google.com/spreadsheets/d/1IYY_tgx_IHuhSq3AJ5eI5OnqOPBNLWSHKh2a30DoXe8/edit?usp=sharing"",""สงขลา!J46"")"),0)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IFERROR(__xludf.DUMMYFUNCTION("IMPORTRANGE(""https://docs.google.com/spreadsheets/d/1IYY_tgx_IHuhSq3AJ5eI5OnqOPBNLWSHKh2a30DoXe8/edit?usp=sharing"",""สงขลา!I47"")"),0)</f>
        <v>0</v>
      </c>
      <c r="J112" s="210">
        <f ca="1">IFERROR(__xludf.DUMMYFUNCTION("IMPORTRANGE(""https://docs.google.com/spreadsheets/d/1IYY_tgx_IHuhSq3AJ5eI5OnqOPBNLWSHKh2a30DoXe8/edit?usp=sharing"",""สงขลา!J47"")"),0)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IFERROR(__xludf.DUMMYFUNCTION("IMPORTRANGE(""https://docs.google.com/spreadsheets/d/1IYY_tgx_IHuhSq3AJ5eI5OnqOPBNLWSHKh2a30DoXe8/edit?usp=sharing"",""สงขลา!I48"")"),0)</f>
        <v>0</v>
      </c>
      <c r="J113" s="210">
        <f ca="1">IFERROR(__xludf.DUMMYFUNCTION("IMPORTRANGE(""https://docs.google.com/spreadsheets/d/1IYY_tgx_IHuhSq3AJ5eI5OnqOPBNLWSHKh2a30DoXe8/edit?usp=sharing"",""สงขลา!J48"")"),0)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IFERROR(__xludf.DUMMYFUNCTION("IMPORTRANGE(""https://docs.google.com/spreadsheets/d/1IYY_tgx_IHuhSq3AJ5eI5OnqOPBNLWSHKh2a30DoXe8/edit?usp=sharing"",""สงขลา!J49"")"),0)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IFERROR(__xludf.DUMMYFUNCTION("IMPORTRANGE(""https://docs.google.com/spreadsheets/d/1IYY_tgx_IHuhSq3AJ5eI5OnqOPBNLWSHKh2a30DoXe8/edit?usp=sharing"",""สงขลา!J50"")"),0)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78312</v>
      </c>
      <c r="M118" s="156">
        <f t="shared" ca="1" si="58"/>
        <v>90812</v>
      </c>
      <c r="N118" s="156">
        <f t="shared" ca="1" si="58"/>
        <v>82940</v>
      </c>
      <c r="O118" s="155">
        <f t="shared" ref="O118:O120" ca="1" si="59">IF(L118&gt;0,N118*100/L118,0)</f>
        <v>105.90969455511288</v>
      </c>
      <c r="P118" s="155">
        <f t="shared" ref="P118:P120" ca="1" si="60">IF(M118&gt;0,N118*100/M118,0)</f>
        <v>91.331542086948858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78312</v>
      </c>
      <c r="M120" s="161">
        <f t="shared" ca="1" si="62"/>
        <v>90812</v>
      </c>
      <c r="N120" s="161">
        <f t="shared" ca="1" si="62"/>
        <v>82940</v>
      </c>
      <c r="O120" s="160">
        <f t="shared" ca="1" si="59"/>
        <v>105.90969455511288</v>
      </c>
      <c r="P120" s="160">
        <f t="shared" ca="1" si="60"/>
        <v>91.331542086948858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78312</v>
      </c>
      <c r="M122" s="173">
        <f ca="1">IFERROR(__xludf.DUMMYFUNCTION("IMPORTRANGE(""https://docs.google.com/spreadsheets/d/1Yj_ptqi66GCucihVvJfMjLAmec39IyEx_6qawtMGysU/edit?usp=sharing"",""สบก!BA92"")"),90812)</f>
        <v>90812</v>
      </c>
      <c r="N122" s="174">
        <f ca="1">IFERROR(__xludf.DUMMYFUNCTION("IMPORTRANGE(""https://docs.google.com/spreadsheets/d/1Yj_ptqi66GCucihVvJfMjLAmec39IyEx_6qawtMGysU/edit?usp=sharing"",""สบก!BB92"")"),82940)</f>
        <v>82940</v>
      </c>
      <c r="O122" s="175">
        <f ca="1">IF(L122&gt;0,N122*100/L122,0)</f>
        <v>105.90969455511288</v>
      </c>
      <c r="P122" s="175">
        <f ca="1">IF(M122&gt;0,N122*100/M122,0)</f>
        <v>91.331542086948858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IFERROR(__xludf.DUMMYFUNCTION("IMPORTRANGE(""https://docs.google.com/spreadsheets/d/1Yj_ptqi66GCucihVvJfMjLAmec39IyEx_6qawtMGysU/edit?usp=sharing"",""สบก!AX92"")"),78312)</f>
        <v>78312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IFERROR(__xludf.DUMMYFUNCTION("IMPORTRANGE(""https://docs.google.com/spreadsheets/d/1IYY_tgx_IHuhSq3AJ5eI5OnqOPBNLWSHKh2a30DoXe8/edit?usp=sharing"",""สงขลา!J58"")"),0)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IFERROR(__xludf.DUMMYFUNCTION("IMPORTRANGE(""https://docs.google.com/spreadsheets/d/1IYY_tgx_IHuhSq3AJ5eI5OnqOPBNLWSHKh2a30DoXe8/edit?usp=sharing"",""สงขลา!J59"")"),1)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IFERROR(__xludf.DUMMYFUNCTION("IMPORTRANGE(""https://docs.google.com/spreadsheets/d/1IYY_tgx_IHuhSq3AJ5eI5OnqOPBNLWSHKh2a30DoXe8/edit?usp=sharing"",""สงขลา!J60"")"),1)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IFERROR(__xludf.DUMMYFUNCTION("IMPORTRANGE(""https://docs.google.com/spreadsheets/d/1IYY_tgx_IHuhSq3AJ5eI5OnqOPBNLWSHKh2a30DoXe8/edit?usp=sharing"",""สงขลา!J61"")"),1)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IFERROR(__xludf.DUMMYFUNCTION("IMPORTRANGE(""https://docs.google.com/spreadsheets/d/1IYY_tgx_IHuhSq3AJ5eI5OnqOPBNLWSHKh2a30DoXe8/edit?usp=sharing"",""สงขลา!I62"")"),15)</f>
        <v>15</v>
      </c>
      <c r="J132" s="210">
        <f ca="1">IFERROR(__xludf.DUMMYFUNCTION("IMPORTRANGE(""https://docs.google.com/spreadsheets/d/1IYY_tgx_IHuhSq3AJ5eI5OnqOPBNLWSHKh2a30DoXe8/edit?usp=sharing"",""สงขลา!J62"")"),15)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IFERROR(__xludf.DUMMYFUNCTION("IMPORTRANGE(""https://docs.google.com/spreadsheets/d/1IYY_tgx_IHuhSq3AJ5eI5OnqOPBNLWSHKh2a30DoXe8/edit?usp=sharing"",""สงขลา!I63"")"),15)</f>
        <v>15</v>
      </c>
      <c r="J133" s="210">
        <f ca="1">IFERROR(__xludf.DUMMYFUNCTION("IMPORTRANGE(""https://docs.google.com/spreadsheets/d/1IYY_tgx_IHuhSq3AJ5eI5OnqOPBNLWSHKh2a30DoXe8/edit?usp=sharing"",""สงขลา!J63"")"),15)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IFERROR(__xludf.DUMMYFUNCTION("IMPORTRANGE(""https://docs.google.com/spreadsheets/d/1IYY_tgx_IHuhSq3AJ5eI5OnqOPBNLWSHKh2a30DoXe8/edit?usp=sharing"",""สงขลา!J64"")"),0)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IFERROR(__xludf.DUMMYFUNCTION("IMPORTRANGE(""https://docs.google.com/spreadsheets/d/1IYY_tgx_IHuhSq3AJ5eI5OnqOPBNLWSHKh2a30DoXe8/edit?usp=sharing"",""สงขลา!J65"")"),0)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IFERROR(__xludf.DUMMYFUNCTION("IMPORTRANGE(""https://docs.google.com/spreadsheets/d/1IYY_tgx_IHuhSq3AJ5eI5OnqOPBNLWSHKh2a30DoXe8/edit?usp=sharing"",""สงขลา!I68"")"),0)</f>
        <v>0</v>
      </c>
      <c r="J138" s="273">
        <f ca="1">IFERROR(__xludf.DUMMYFUNCTION("IMPORTRANGE(""https://docs.google.com/spreadsheets/d/1IYY_tgx_IHuhSq3AJ5eI5OnqOPBNLWSHKh2a30DoXe8/edit?usp=sharing"",""สงขลา!J68"")"),0)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204900</v>
      </c>
      <c r="M140" s="156">
        <f t="shared" ca="1" si="64"/>
        <v>204900</v>
      </c>
      <c r="N140" s="156">
        <f t="shared" ca="1" si="64"/>
        <v>185540</v>
      </c>
      <c r="O140" s="155">
        <f t="shared" ref="O140:O142" ca="1" si="65">IF(L140&gt;0,N140*100/L140,0)</f>
        <v>90.551488530990724</v>
      </c>
      <c r="P140" s="155">
        <f t="shared" ref="P140:P142" ca="1" si="66">IF(M140&gt;0,N140*100/M140,0)</f>
        <v>90.551488530990724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204900</v>
      </c>
      <c r="M142" s="161">
        <f t="shared" ca="1" si="68"/>
        <v>204900</v>
      </c>
      <c r="N142" s="161">
        <f t="shared" ca="1" si="68"/>
        <v>185540</v>
      </c>
      <c r="O142" s="160">
        <f t="shared" ca="1" si="65"/>
        <v>90.551488530990724</v>
      </c>
      <c r="P142" s="160">
        <f t="shared" ca="1" si="66"/>
        <v>90.551488530990724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204900</v>
      </c>
      <c r="M144" s="173">
        <f ca="1">IFERROR(__xludf.DUMMYFUNCTION("IMPORTRANGE(""https://docs.google.com/spreadsheets/d/1Yj_ptqi66GCucihVvJfMjLAmec39IyEx_6qawtMGysU/edit?usp=sharing"",""สบก!BJ92"")"),204900)</f>
        <v>204900</v>
      </c>
      <c r="N144" s="174">
        <f ca="1">IFERROR(__xludf.DUMMYFUNCTION("IMPORTRANGE(""https://docs.google.com/spreadsheets/d/1Yj_ptqi66GCucihVvJfMjLAmec39IyEx_6qawtMGysU/edit?usp=sharing"",""สบก!BK92"")"),185540)</f>
        <v>185540</v>
      </c>
      <c r="O144" s="175">
        <f ca="1">IF(L144&gt;0,N144*100/L144,0)</f>
        <v>90.551488530990724</v>
      </c>
      <c r="P144" s="175">
        <f ca="1">IF(M144&gt;0,N144*100/M144,0)</f>
        <v>90.551488530990724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IFERROR(__xludf.DUMMYFUNCTION("IMPORTRANGE(""https://docs.google.com/spreadsheets/d/1Yj_ptqi66GCucihVvJfMjLAmec39IyEx_6qawtMGysU/edit?usp=sharing"",""สบก!BF92"")"),0)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IFERROR(__xludf.DUMMYFUNCTION("IMPORTRANGE(""https://docs.google.com/spreadsheets/d/1Yj_ptqi66GCucihVvJfMjLAmec39IyEx_6qawtMGysU/edit?usp=sharing"",""สบก!BG92"")"),204900)</f>
        <v>204900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IFERROR(__xludf.DUMMYFUNCTION("IMPORTRANGE(""https://docs.google.com/spreadsheets/d/1IYY_tgx_IHuhSq3AJ5eI5OnqOPBNLWSHKh2a30DoXe8/edit?usp=sharing"",""สงขลา!I74"")"),4)</f>
        <v>4</v>
      </c>
      <c r="J149" s="281">
        <f ca="1">IFERROR(__xludf.DUMMYFUNCTION("IMPORTRANGE(""https://docs.google.com/spreadsheets/d/1IYY_tgx_IHuhSq3AJ5eI5OnqOPBNLWSHKh2a30DoXe8/edit?usp=sharing"",""สงขลา!J74"")"),3)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IFERROR(__xludf.DUMMYFUNCTION("IMPORTRANGE(""https://docs.google.com/spreadsheets/d/1IYY_tgx_IHuhSq3AJ5eI5OnqOPBNLWSHKh2a30DoXe8/edit?usp=sharing"",""สงขลา!J79"")"),0)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IFERROR(__xludf.DUMMYFUNCTION("IMPORTRANGE(""https://docs.google.com/spreadsheets/d/1IYY_tgx_IHuhSq3AJ5eI5OnqOPBNLWSHKh2a30DoXe8/edit?usp=sharing"",""สงขลา!J80"")"),1)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IFERROR(__xludf.DUMMYFUNCTION("IMPORTRANGE(""https://docs.google.com/spreadsheets/d/1IYY_tgx_IHuhSq3AJ5eI5OnqOPBNLWSHKh2a30DoXe8/edit?usp=sharing"",""สงขลา!J81"")"),1)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IFERROR(__xludf.DUMMYFUNCTION("IMPORTRANGE(""https://docs.google.com/spreadsheets/d/1IYY_tgx_IHuhSq3AJ5eI5OnqOPBNLWSHKh2a30DoXe8/edit?usp=sharing"",""สงขลา!J82"")"),1)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IFERROR(__xludf.DUMMYFUNCTION("IMPORTRANGE(""https://docs.google.com/spreadsheets/d/1IYY_tgx_IHuhSq3AJ5eI5OnqOPBNLWSHKh2a30DoXe8/edit?usp=sharing"",""สงขลา!I83"")"),4)</f>
        <v>4</v>
      </c>
      <c r="J158" s="195">
        <f ca="1">IFERROR(__xludf.DUMMYFUNCTION("IMPORTRANGE(""https://docs.google.com/spreadsheets/d/1IYY_tgx_IHuhSq3AJ5eI5OnqOPBNLWSHKh2a30DoXe8/edit?usp=sharing"",""สงขลา!J83"")"),3)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IFERROR(__xludf.DUMMYFUNCTION("IMPORTRANGE(""https://docs.google.com/spreadsheets/d/1IYY_tgx_IHuhSq3AJ5eI5OnqOPBNLWSHKh2a30DoXe8/edit?usp=sharing"",""สงขลา!J84"")"),45)</f>
        <v>45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IFERROR(__xludf.DUMMYFUNCTION("IMPORTRANGE(""https://docs.google.com/spreadsheets/d/1IYY_tgx_IHuhSq3AJ5eI5OnqOPBNLWSHKh2a30DoXe8/edit?usp=sharing"",""สงขลา!J85"")"),45)</f>
        <v>45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IFERROR(__xludf.DUMMYFUNCTION("IMPORTRANGE(""https://docs.google.com/spreadsheets/d/1IYY_tgx_IHuhSq3AJ5eI5OnqOPBNLWSHKh2a30DoXe8/edit?usp=sharing"",""สงขลา!J87"")"),0)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IFERROR(__xludf.DUMMYFUNCTION("IMPORTRANGE(""https://docs.google.com/spreadsheets/d/1IYY_tgx_IHuhSq3AJ5eI5OnqOPBNLWSHKh2a30DoXe8/edit?usp=sharing"",""สงขลา!J88"")"),0)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IFERROR(__xludf.DUMMYFUNCTION("IMPORTRANGE(""https://docs.google.com/spreadsheets/d/1IYY_tgx_IHuhSq3AJ5eI5OnqOPBNLWSHKh2a30DoXe8/edit?usp=sharing"",""สงขลา!J94"")"),0)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IFERROR(__xludf.DUMMYFUNCTION("IMPORTRANGE(""https://docs.google.com/spreadsheets/d/1IYY_tgx_IHuhSq3AJ5eI5OnqOPBNLWSHKh2a30DoXe8/edit?usp=sharing"",""สงขลา!J95"")"),1)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IFERROR(__xludf.DUMMYFUNCTION("IMPORTRANGE(""https://docs.google.com/spreadsheets/d/1IYY_tgx_IHuhSq3AJ5eI5OnqOPBNLWSHKh2a30DoXe8/edit?usp=sharing"",""สงขลา!J96"")"),1)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IFERROR(__xludf.DUMMYFUNCTION("IMPORTRANGE(""https://docs.google.com/spreadsheets/d/1IYY_tgx_IHuhSq3AJ5eI5OnqOPBNLWSHKh2a30DoXe8/edit?usp=sharing"",""สงขลา!J97"")"),1)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IFERROR(__xludf.DUMMYFUNCTION("IMPORTRANGE(""https://docs.google.com/spreadsheets/d/1IYY_tgx_IHuhSq3AJ5eI5OnqOPBNLWSHKh2a30DoXe8/edit?usp=sharing"",""สงขลา!I98"")"),6)</f>
        <v>6</v>
      </c>
      <c r="J173" s="195">
        <f ca="1">IFERROR(__xludf.DUMMYFUNCTION("IMPORTRANGE(""https://docs.google.com/spreadsheets/d/1IYY_tgx_IHuhSq3AJ5eI5OnqOPBNLWSHKh2a30DoXe8/edit?usp=sharing"",""สงขลา!J98"")"),6)</f>
        <v>6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IFERROR(__xludf.DUMMYFUNCTION("IMPORTRANGE(""https://docs.google.com/spreadsheets/d/1IYY_tgx_IHuhSq3AJ5eI5OnqOPBNLWSHKh2a30DoXe8/edit?usp=sharing"",""สงขลา!J99"")"),0)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IFERROR(__xludf.DUMMYFUNCTION("IMPORTRANGE(""https://docs.google.com/spreadsheets/d/1IYY_tgx_IHuhSq3AJ5eI5OnqOPBNLWSHKh2a30DoXe8/edit?usp=sharing"",""สงขลา!J100"")"),0)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IFERROR(__xludf.DUMMYFUNCTION("IMPORTRANGE(""https://docs.google.com/spreadsheets/d/1IYY_tgx_IHuhSq3AJ5eI5OnqOPBNLWSHKh2a30DoXe8/edit?usp=sharing"",""สงขลา!J106"")"),0)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IFERROR(__xludf.DUMMYFUNCTION("IMPORTRANGE(""https://docs.google.com/spreadsheets/d/1IYY_tgx_IHuhSq3AJ5eI5OnqOPBNLWSHKh2a30DoXe8/edit?usp=sharing"",""สงขลา!J107"")"),1)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IFERROR(__xludf.DUMMYFUNCTION("IMPORTRANGE(""https://docs.google.com/spreadsheets/d/1IYY_tgx_IHuhSq3AJ5eI5OnqOPBNLWSHKh2a30DoXe8/edit?usp=sharing"",""สงขลา!J108"")"),1)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IFERROR(__xludf.DUMMYFUNCTION("IMPORTRANGE(""https://docs.google.com/spreadsheets/d/1IYY_tgx_IHuhSq3AJ5eI5OnqOPBNLWSHKh2a30DoXe8/edit?usp=sharing"",""สงขลา!J109"")"),1)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IFERROR(__xludf.DUMMYFUNCTION("IMPORTRANGE(""https://docs.google.com/spreadsheets/d/1IYY_tgx_IHuhSq3AJ5eI5OnqOPBNLWSHKh2a30DoXe8/edit?usp=sharing"",""สงขลา!I110"")"),7)</f>
        <v>7</v>
      </c>
      <c r="J185" s="210">
        <f ca="1">IFERROR(__xludf.DUMMYFUNCTION("IMPORTRANGE(""https://docs.google.com/spreadsheets/d/1IYY_tgx_IHuhSq3AJ5eI5OnqOPBNLWSHKh2a30DoXe8/edit?usp=sharing"",""สงขลา!J110"")"),7)</f>
        <v>7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IFERROR(__xludf.DUMMYFUNCTION("IMPORTRANGE(""https://docs.google.com/spreadsheets/d/1IYY_tgx_IHuhSq3AJ5eI5OnqOPBNLWSHKh2a30DoXe8/edit?usp=sharing"",""สงขลา!I111"")"),7)</f>
        <v>7</v>
      </c>
      <c r="J186" s="210">
        <f ca="1">IFERROR(__xludf.DUMMYFUNCTION("IMPORTRANGE(""https://docs.google.com/spreadsheets/d/1IYY_tgx_IHuhSq3AJ5eI5OnqOPBNLWSHKh2a30DoXe8/edit?usp=sharing"",""สงขลา!J111"")"),7)</f>
        <v>7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IFERROR(__xludf.DUMMYFUNCTION("IMPORTRANGE(""https://docs.google.com/spreadsheets/d/1IYY_tgx_IHuhSq3AJ5eI5OnqOPBNLWSHKh2a30DoXe8/edit?usp=sharing"",""สงขลา!J112"")"),0)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IFERROR(__xludf.DUMMYFUNCTION("IMPORTRANGE(""https://docs.google.com/spreadsheets/d/1IYY_tgx_IHuhSq3AJ5eI5OnqOPBNLWSHKh2a30DoXe8/edit?usp=sharing"",""สงขลา!J113"")"),0)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IFERROR(__xludf.DUMMYFUNCTION("IMPORTRANGE(""https://docs.google.com/spreadsheets/d/1IYY_tgx_IHuhSq3AJ5eI5OnqOPBNLWSHKh2a30DoXe8/edit?usp=sharing"",""สงขลา!J114"")"),15000)</f>
        <v>15000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IFERROR(__xludf.DUMMYFUNCTION("IMPORTRANGE(""https://docs.google.com/spreadsheets/d/1IYY_tgx_IHuhSq3AJ5eI5OnqOPBNLWSHKh2a30DoXe8/edit?usp=sharing"",""สงขลา!J119"")"),0)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IFERROR(__xludf.DUMMYFUNCTION("IMPORTRANGE(""https://docs.google.com/spreadsheets/d/1IYY_tgx_IHuhSq3AJ5eI5OnqOPBNLWSHKh2a30DoXe8/edit?usp=sharing"",""สงขลา!J120"")"),1)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IFERROR(__xludf.DUMMYFUNCTION("IMPORTRANGE(""https://docs.google.com/spreadsheets/d/1IYY_tgx_IHuhSq3AJ5eI5OnqOPBNLWSHKh2a30DoXe8/edit?usp=sharing"",""สงขลา!J121"")"),1)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IFERROR(__xludf.DUMMYFUNCTION("IMPORTRANGE(""https://docs.google.com/spreadsheets/d/1IYY_tgx_IHuhSq3AJ5eI5OnqOPBNLWSHKh2a30DoXe8/edit?usp=sharing"",""สงขลา!J122"")"),1)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IFERROR(__xludf.DUMMYFUNCTION("IMPORTRANGE(""https://docs.google.com/spreadsheets/d/1IYY_tgx_IHuhSq3AJ5eI5OnqOPBNLWSHKh2a30DoXe8/edit?usp=sharing"",""สงขลา!I124"")"),15000)</f>
        <v>15000</v>
      </c>
      <c r="J199" s="195">
        <f ca="1">IFERROR(__xludf.DUMMYFUNCTION("IMPORTRANGE(""https://docs.google.com/spreadsheets/d/1IYY_tgx_IHuhSq3AJ5eI5OnqOPBNLWSHKh2a30DoXe8/edit?usp=sharing"",""สงขลา!J124"")"),15000)</f>
        <v>15000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IFERROR(__xludf.DUMMYFUNCTION("IMPORTRANGE(""https://docs.google.com/spreadsheets/d/1IYY_tgx_IHuhSq3AJ5eI5OnqOPBNLWSHKh2a30DoXe8/edit?usp=sharing"",""สงขลา!I125"")"),15000)</f>
        <v>15000</v>
      </c>
      <c r="J200" s="195">
        <f ca="1">IFERROR(__xludf.DUMMYFUNCTION("IMPORTRANGE(""https://docs.google.com/spreadsheets/d/1IYY_tgx_IHuhSq3AJ5eI5OnqOPBNLWSHKh2a30DoXe8/edit?usp=sharing"",""สงขลา!J125"")"),15000)</f>
        <v>15000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IFERROR(__xludf.DUMMYFUNCTION("IMPORTRANGE(""https://docs.google.com/spreadsheets/d/1IYY_tgx_IHuhSq3AJ5eI5OnqOPBNLWSHKh2a30DoXe8/edit?usp=sharing"",""สงขลา!I126"")"),0)</f>
        <v>0</v>
      </c>
      <c r="J201" s="195">
        <f ca="1">IFERROR(__xludf.DUMMYFUNCTION("IMPORTRANGE(""https://docs.google.com/spreadsheets/d/1IYY_tgx_IHuhSq3AJ5eI5OnqOPBNLWSHKh2a30DoXe8/edit?usp=sharing"",""สงขลา!J126"")"),0)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IFERROR(__xludf.DUMMYFUNCTION("IMPORTRANGE(""https://docs.google.com/spreadsheets/d/1IYY_tgx_IHuhSq3AJ5eI5OnqOPBNLWSHKh2a30DoXe8/edit?usp=sharing"",""สงขลา!J127"")"),0)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IFERROR(__xludf.DUMMYFUNCTION("IMPORTRANGE(""https://docs.google.com/spreadsheets/d/1IYY_tgx_IHuhSq3AJ5eI5OnqOPBNLWSHKh2a30DoXe8/edit?usp=sharing"",""สงขลา!J128"")"),0)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IFERROR(__xludf.DUMMYFUNCTION("IMPORTRANGE(""https://docs.google.com/spreadsheets/d/1IYY_tgx_IHuhSq3AJ5eI5OnqOPBNLWSHKh2a30DoXe8/edit?usp=sharing"",""สงขลา!J134"")"),0)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IFERROR(__xludf.DUMMYFUNCTION("IMPORTRANGE(""https://docs.google.com/spreadsheets/d/1IYY_tgx_IHuhSq3AJ5eI5OnqOPBNLWSHKh2a30DoXe8/edit?usp=sharing"",""สงขลา!J135"")"),0)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IFERROR(__xludf.DUMMYFUNCTION("IMPORTRANGE(""https://docs.google.com/spreadsheets/d/1IYY_tgx_IHuhSq3AJ5eI5OnqOPBNLWSHKh2a30DoXe8/edit?usp=sharing"",""สงขลา!J136"")"),0)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IFERROR(__xludf.DUMMYFUNCTION("IMPORTRANGE(""https://docs.google.com/spreadsheets/d/1IYY_tgx_IHuhSq3AJ5eI5OnqOPBNLWSHKh2a30DoXe8/edit?usp=sharing"",""สงขลา!J137"")"),0)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IFERROR(__xludf.DUMMYFUNCTION("IMPORTRANGE(""https://docs.google.com/spreadsheets/d/1IYY_tgx_IHuhSq3AJ5eI5OnqOPBNLWSHKh2a30DoXe8/edit?usp=sharing"",""สงขลา!I138"")"),0)</f>
        <v>0</v>
      </c>
      <c r="J213" s="210">
        <f ca="1">IFERROR(__xludf.DUMMYFUNCTION("IMPORTRANGE(""https://docs.google.com/spreadsheets/d/1IYY_tgx_IHuhSq3AJ5eI5OnqOPBNLWSHKh2a30DoXe8/edit?usp=sharing"",""สงขลา!J138"")"),0)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IFERROR(__xludf.DUMMYFUNCTION("IMPORTRANGE(""https://docs.google.com/spreadsheets/d/1IYY_tgx_IHuhSq3AJ5eI5OnqOPBNLWSHKh2a30DoXe8/edit?usp=sharing"",""สงขลา!I140"")"),0)</f>
        <v>0</v>
      </c>
      <c r="J215" s="210">
        <f ca="1">IFERROR(__xludf.DUMMYFUNCTION("IMPORTRANGE(""https://docs.google.com/spreadsheets/d/1IYY_tgx_IHuhSq3AJ5eI5OnqOPBNLWSHKh2a30DoXe8/edit?usp=sharing"",""สงขลา!J140"")"),0)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IFERROR(__xludf.DUMMYFUNCTION("IMPORTRANGE(""https://docs.google.com/spreadsheets/d/1IYY_tgx_IHuhSq3AJ5eI5OnqOPBNLWSHKh2a30DoXe8/edit?usp=sharing"",""สงขลา!I141"")"),0)</f>
        <v>0</v>
      </c>
      <c r="J216" s="210">
        <f ca="1">IFERROR(__xludf.DUMMYFUNCTION("IMPORTRANGE(""https://docs.google.com/spreadsheets/d/1IYY_tgx_IHuhSq3AJ5eI5OnqOPBNLWSHKh2a30DoXe8/edit?usp=sharing"",""สงขลา!J141"")"),0)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IFERROR(__xludf.DUMMYFUNCTION("IMPORTRANGE(""https://docs.google.com/spreadsheets/d/1IYY_tgx_IHuhSq3AJ5eI5OnqOPBNLWSHKh2a30DoXe8/edit?usp=sharing"",""สงขลา!J142"")"),0)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IFERROR(__xludf.DUMMYFUNCTION("IMPORTRANGE(""https://docs.google.com/spreadsheets/d/1IYY_tgx_IHuhSq3AJ5eI5OnqOPBNLWSHKh2a30DoXe8/edit?usp=sharing"",""สงขลา!J143"")"),0)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IFERROR(__xludf.DUMMYFUNCTION("IMPORTRANGE(""https://docs.google.com/spreadsheets/d/1IYY_tgx_IHuhSq3AJ5eI5OnqOPBNLWSHKh2a30DoXe8/edit?usp=sharing"",""สงขลา!I144"")"),15)</f>
        <v>15</v>
      </c>
      <c r="J219" s="273">
        <f ca="1">IFERROR(__xludf.DUMMYFUNCTION("IMPORTRANGE(""https://docs.google.com/spreadsheets/d/1IYY_tgx_IHuhSq3AJ5eI5OnqOPBNLWSHKh2a30DoXe8/edit?usp=sharing"",""สงขลา!J144"")"),15)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IFERROR(__xludf.DUMMYFUNCTION("IMPORTRANGE(""https://docs.google.com/spreadsheets/d/1Yj_ptqi66GCucihVvJfMjLAmec39IyEx_6qawtMGysU/edit?usp=sharing"",""สบก!BS92"")"),21125)</f>
        <v>21125</v>
      </c>
      <c r="N224" s="174">
        <f ca="1">IFERROR(__xludf.DUMMYFUNCTION("IMPORTRANGE(""https://docs.google.com/spreadsheets/d/1Yj_ptqi66GCucihVvJfMjLAmec39IyEx_6qawtMGysU/edit?usp=sharing"",""สบก!BT92"")"),21125)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IFERROR(__xludf.DUMMYFUNCTION("IMPORTRANGE(""https://docs.google.com/spreadsheets/d/1Yj_ptqi66GCucihVvJfMjLAmec39IyEx_6qawtMGysU/edit?usp=sharing"",""สบก!BP92"")"),21125)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IFERROR(__xludf.DUMMYFUNCTION("IMPORTRANGE(""https://docs.google.com/spreadsheets/d/1IYY_tgx_IHuhSq3AJ5eI5OnqOPBNLWSHKh2a30DoXe8/edit?usp=sharing"",""สงขลา!I149"")"),15)</f>
        <v>15</v>
      </c>
      <c r="J229" s="273">
        <f ca="1">IFERROR(__xludf.DUMMYFUNCTION("IMPORTRANGE(""https://docs.google.com/spreadsheets/d/1IYY_tgx_IHuhSq3AJ5eI5OnqOPBNLWSHKh2a30DoXe8/edit?usp=sharing"",""สงขลา!J149"")"),15)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IFERROR(__xludf.DUMMYFUNCTION("IMPORTRANGE(""https://docs.google.com/spreadsheets/d/1IYY_tgx_IHuhSq3AJ5eI5OnqOPBNLWSHKh2a30DoXe8/edit?usp=sharing"",""สงขลา!J151"")"),0)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IFERROR(__xludf.DUMMYFUNCTION("IMPORTRANGE(""https://docs.google.com/spreadsheets/d/1IYY_tgx_IHuhSq3AJ5eI5OnqOPBNLWSHKh2a30DoXe8/edit?usp=sharing"",""สงขลา!J152"")"),1)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IFERROR(__xludf.DUMMYFUNCTION("IMPORTRANGE(""https://docs.google.com/spreadsheets/d/1IYY_tgx_IHuhSq3AJ5eI5OnqOPBNLWSHKh2a30DoXe8/edit?usp=sharing"",""สงขลา!J153"")"),1)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IFERROR(__xludf.DUMMYFUNCTION("IMPORTRANGE(""https://docs.google.com/spreadsheets/d/1IYY_tgx_IHuhSq3AJ5eI5OnqOPBNLWSHKh2a30DoXe8/edit?usp=sharing"",""สงขลา!J154"")"),1)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IFERROR(__xludf.DUMMYFUNCTION("IMPORTRANGE(""https://docs.google.com/spreadsheets/d/1IYY_tgx_IHuhSq3AJ5eI5OnqOPBNLWSHKh2a30DoXe8/edit?usp=sharing"",""สงขลา!I155"")"),15)</f>
        <v>15</v>
      </c>
      <c r="J235" s="195">
        <f ca="1">IFERROR(__xludf.DUMMYFUNCTION("IMPORTRANGE(""https://docs.google.com/spreadsheets/d/1IYY_tgx_IHuhSq3AJ5eI5OnqOPBNLWSHKh2a30DoXe8/edit?usp=sharing"",""สงขลา!J155"")"),15)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IFERROR(__xludf.DUMMYFUNCTION("IMPORTRANGE(""https://docs.google.com/spreadsheets/d/1IYY_tgx_IHuhSq3AJ5eI5OnqOPBNLWSHKh2a30DoXe8/edit?usp=sharing"",""สงขลา!J156"")"),0)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IFERROR(__xludf.DUMMYFUNCTION("IMPORTRANGE(""https://docs.google.com/spreadsheets/d/1IYY_tgx_IHuhSq3AJ5eI5OnqOPBNLWSHKh2a30DoXe8/edit?usp=sharing"",""สงขลา!J157"")"),0)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IFERROR(__xludf.DUMMYFUNCTION("IMPORTRANGE(""https://docs.google.com/spreadsheets/d/1IYY_tgx_IHuhSq3AJ5eI5OnqOPBNLWSHKh2a30DoXe8/edit?usp=sharing"",""สงขลา!I158"")"),0)</f>
        <v>0</v>
      </c>
      <c r="J238" s="273">
        <f ca="1">IFERROR(__xludf.DUMMYFUNCTION("IMPORTRANGE(""https://docs.google.com/spreadsheets/d/1IYY_tgx_IHuhSq3AJ5eI5OnqOPBNLWSHKh2a30DoXe8/edit?usp=sharing"",""สงขลา!J158"")"),0)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IFERROR(__xludf.DUMMYFUNCTION("IMPORTRANGE(""https://docs.google.com/spreadsheets/d/1IYY_tgx_IHuhSq3AJ5eI5OnqOPBNLWSHKh2a30DoXe8/edit?usp=sharing"",""สงขลา!J159"")"),"")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IFERROR(__xludf.DUMMYFUNCTION("IMPORTRANGE(""https://docs.google.com/spreadsheets/d/1IYY_tgx_IHuhSq3AJ5eI5OnqOPBNLWSHKh2a30DoXe8/edit?usp=sharing"",""สงขลา!J161"")"),0)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IFERROR(__xludf.DUMMYFUNCTION("IMPORTRANGE(""https://docs.google.com/spreadsheets/d/1IYY_tgx_IHuhSq3AJ5eI5OnqOPBNLWSHKh2a30DoXe8/edit?usp=sharing"",""สงขลา!J162"")"),0)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IFERROR(__xludf.DUMMYFUNCTION("IMPORTRANGE(""https://docs.google.com/spreadsheets/d/1IYY_tgx_IHuhSq3AJ5eI5OnqOPBNLWSHKh2a30DoXe8/edit?usp=sharing"",""สงขลา!J163"")"),0)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IFERROR(__xludf.DUMMYFUNCTION("IMPORTRANGE(""https://docs.google.com/spreadsheets/d/1IYY_tgx_IHuhSq3AJ5eI5OnqOPBNLWSHKh2a30DoXe8/edit?usp=sharing"",""สงขลา!I164"")"),0)</f>
        <v>0</v>
      </c>
      <c r="J244" s="194">
        <f ca="1">IFERROR(__xludf.DUMMYFUNCTION("IMPORTRANGE(""https://docs.google.com/spreadsheets/d/1IYY_tgx_IHuhSq3AJ5eI5OnqOPBNLWSHKh2a30DoXe8/edit?usp=sharing"",""สงขลา!J164"")"),0)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IFERROR(__xludf.DUMMYFUNCTION("IMPORTRANGE(""https://docs.google.com/spreadsheets/d/1IYY_tgx_IHuhSq3AJ5eI5OnqOPBNLWSHKh2a30DoXe8/edit?usp=sharing"",""สงขลา!J165"")"),0)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IFERROR(__xludf.DUMMYFUNCTION("IMPORTRANGE(""https://docs.google.com/spreadsheets/d/1Yj_ptqi66GCucihVvJfMjLAmec39IyEx_6qawtMGysU/edit?usp=sharing"",""สบก!CB92"")"),0)</f>
        <v>0</v>
      </c>
      <c r="N254" s="174">
        <f ca="1">IFERROR(__xludf.DUMMYFUNCTION("IMPORTRANGE(""https://docs.google.com/spreadsheets/d/1Yj_ptqi66GCucihVvJfMjLAmec39IyEx_6qawtMGysU/edit?usp=sharing"",""สบก!CC92"")"),0)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IFERROR(__xludf.DUMMYFUNCTION("IMPORTRANGE(""https://docs.google.com/spreadsheets/d/1Yj_ptqi66GCucihVvJfMjLAmec39IyEx_6qawtMGysU/edit?usp=sharing"",""สบก!BY92"")"),0)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IFERROR(__xludf.DUMMYFUNCTION("IMPORTRANGE(""https://docs.google.com/spreadsheets/d/1IYY_tgx_IHuhSq3AJ5eI5OnqOPBNLWSHKh2a30DoXe8/edit?usp=sharing"",""สงขลา!J175"")"),0)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IFERROR(__xludf.DUMMYFUNCTION("IMPORTRANGE(""https://docs.google.com/spreadsheets/d/1IYY_tgx_IHuhSq3AJ5eI5OnqOPBNLWSHKh2a30DoXe8/edit?usp=sharing"",""สงขลา!J176"")"),0)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IFERROR(__xludf.DUMMYFUNCTION("IMPORTRANGE(""https://docs.google.com/spreadsheets/d/1IYY_tgx_IHuhSq3AJ5eI5OnqOPBNLWSHKh2a30DoXe8/edit?usp=sharing"",""สงขลา!J177"")"),0)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IFERROR(__xludf.DUMMYFUNCTION("IMPORTRANGE(""https://docs.google.com/spreadsheets/d/1IYY_tgx_IHuhSq3AJ5eI5OnqOPBNLWSHKh2a30DoXe8/edit?usp=sharing"",""สงขลา!J178"")"),0)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IFERROR(__xludf.DUMMYFUNCTION("IMPORTRANGE(""https://docs.google.com/spreadsheets/d/1IYY_tgx_IHuhSq3AJ5eI5OnqOPBNLWSHKh2a30DoXe8/edit?usp=sharing"",""สงขลา!I179"")"),0)</f>
        <v>0</v>
      </c>
      <c r="J264" s="195">
        <f ca="1">IFERROR(__xludf.DUMMYFUNCTION("IMPORTRANGE(""https://docs.google.com/spreadsheets/d/1IYY_tgx_IHuhSq3AJ5eI5OnqOPBNLWSHKh2a30DoXe8/edit?usp=sharing"",""สงขลา!J179"")"),0)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IFERROR(__xludf.DUMMYFUNCTION("IMPORTRANGE(""https://docs.google.com/spreadsheets/d/1IYY_tgx_IHuhSq3AJ5eI5OnqOPBNLWSHKh2a30DoXe8/edit?usp=sharing"",""สงขลา!I180"")"),0)</f>
        <v>0</v>
      </c>
      <c r="J265" s="195">
        <f ca="1">IFERROR(__xludf.DUMMYFUNCTION("IMPORTRANGE(""https://docs.google.com/spreadsheets/d/1IYY_tgx_IHuhSq3AJ5eI5OnqOPBNLWSHKh2a30DoXe8/edit?usp=sharing"",""สงขลา!J180"")"),0)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IFERROR(__xludf.DUMMYFUNCTION("IMPORTRANGE(""https://docs.google.com/spreadsheets/d/1IYY_tgx_IHuhSq3AJ5eI5OnqOPBNLWSHKh2a30DoXe8/edit?usp=sharing"",""สงขลา!I181"")"),0)</f>
        <v>0</v>
      </c>
      <c r="J266" s="195">
        <f ca="1">IFERROR(__xludf.DUMMYFUNCTION("IMPORTRANGE(""https://docs.google.com/spreadsheets/d/1IYY_tgx_IHuhSq3AJ5eI5OnqOPBNLWSHKh2a30DoXe8/edit?usp=sharing"",""สงขลา!J181"")"),0)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IFERROR(__xludf.DUMMYFUNCTION("IMPORTRANGE(""https://docs.google.com/spreadsheets/d/1IYY_tgx_IHuhSq3AJ5eI5OnqOPBNLWSHKh2a30DoXe8/edit?usp=sharing"",""สงขลา!I182"")"),0)</f>
        <v>0</v>
      </c>
      <c r="J267" s="195">
        <f ca="1">IFERROR(__xludf.DUMMYFUNCTION("IMPORTRANGE(""https://docs.google.com/spreadsheets/d/1IYY_tgx_IHuhSq3AJ5eI5OnqOPBNLWSHKh2a30DoXe8/edit?usp=sharing"",""สงขลา!J182"")"),0)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IFERROR(__xludf.DUMMYFUNCTION("IMPORTRANGE(""https://docs.google.com/spreadsheets/d/1IYY_tgx_IHuhSq3AJ5eI5OnqOPBNLWSHKh2a30DoXe8/edit?usp=sharing"",""สงขลา!J183"")"),0)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158706</v>
      </c>
      <c r="O271" s="155">
        <f t="shared" ref="O271:O273" ca="1" si="84">IF(L271&gt;0,N271*100/L271,0)</f>
        <v>84.77884615384616</v>
      </c>
      <c r="P271" s="155">
        <f t="shared" ref="P271:P273" ca="1" si="85">IF(M271&gt;0,N271*100/M271,0)</f>
        <v>84.77884615384616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158706</v>
      </c>
      <c r="O273" s="160">
        <f t="shared" ca="1" si="84"/>
        <v>84.77884615384616</v>
      </c>
      <c r="P273" s="160">
        <f t="shared" ca="1" si="85"/>
        <v>84.77884615384616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IFERROR(__xludf.DUMMYFUNCTION("IMPORTRANGE(""https://docs.google.com/spreadsheets/d/1Yj_ptqi66GCucihVvJfMjLAmec39IyEx_6qawtMGysU/edit?usp=sharing"",""สบก!CK92"")"),187200)</f>
        <v>187200</v>
      </c>
      <c r="N275" s="174">
        <f ca="1">IFERROR(__xludf.DUMMYFUNCTION("IMPORTRANGE(""https://docs.google.com/spreadsheets/d/1Yj_ptqi66GCucihVvJfMjLAmec39IyEx_6qawtMGysU/edit?usp=sharing"",""สบก!CL92"")"),158706)</f>
        <v>158706</v>
      </c>
      <c r="O275" s="175">
        <f ca="1">IF(L275&gt;0,N275*100/L275,0)</f>
        <v>84.77884615384616</v>
      </c>
      <c r="P275" s="175">
        <f ca="1">IF(M275&gt;0,N275*100/M275,0)</f>
        <v>84.77884615384616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IFERROR(__xludf.DUMMYFUNCTION("IMPORTRANGE(""https://docs.google.com/spreadsheets/d/1Yj_ptqi66GCucihVvJfMjLAmec39IyEx_6qawtMGysU/edit?usp=sharing"",""สบก!CG92"")"),132000)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IFERROR(__xludf.DUMMYFUNCTION("IMPORTRANGE(""https://docs.google.com/spreadsheets/d/1Yj_ptqi66GCucihVvJfMjLAmec39IyEx_6qawtMGysU/edit?usp=sharing"",""สบก!CH92"")"),55200)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IFERROR(__xludf.DUMMYFUNCTION("IMPORTRANGE(""https://docs.google.com/spreadsheets/d/1IYY_tgx_IHuhSq3AJ5eI5OnqOPBNLWSHKh2a30DoXe8/edit?usp=sharing"",""สงขลา!J191"")"),0)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IFERROR(__xludf.DUMMYFUNCTION("IMPORTRANGE(""https://docs.google.com/spreadsheets/d/1IYY_tgx_IHuhSq3AJ5eI5OnqOPBNLWSHKh2a30DoXe8/edit?usp=sharing"",""สงขลา!J192"")"),1)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IFERROR(__xludf.DUMMYFUNCTION("IMPORTRANGE(""https://docs.google.com/spreadsheets/d/1IYY_tgx_IHuhSq3AJ5eI5OnqOPBNLWSHKh2a30DoXe8/edit?usp=sharing"",""สงขลา!J193"")"),1)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IFERROR(__xludf.DUMMYFUNCTION("IMPORTRANGE(""https://docs.google.com/spreadsheets/d/1IYY_tgx_IHuhSq3AJ5eI5OnqOPBNLWSHKh2a30DoXe8/edit?usp=sharing"",""สงขลา!J194"")"),1)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IFERROR(__xludf.DUMMYFUNCTION("IMPORTRANGE(""https://docs.google.com/spreadsheets/d/1IYY_tgx_IHuhSq3AJ5eI5OnqOPBNLWSHKh2a30DoXe8/edit?usp=sharing"",""สงขลา!I195"")"),15)</f>
        <v>15</v>
      </c>
      <c r="J285" s="195">
        <f ca="1">IFERROR(__xludf.DUMMYFUNCTION("IMPORTRANGE(""https://docs.google.com/spreadsheets/d/1IYY_tgx_IHuhSq3AJ5eI5OnqOPBNLWSHKh2a30DoXe8/edit?usp=sharing"",""สงขลา!J195"")"),15)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IFERROR(__xludf.DUMMYFUNCTION("IMPORTRANGE(""https://docs.google.com/spreadsheets/d/1IYY_tgx_IHuhSq3AJ5eI5OnqOPBNLWSHKh2a30DoXe8/edit?usp=sharing"",""สงขลา!J196"")"),0)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IFERROR(__xludf.DUMMYFUNCTION("IMPORTRANGE(""https://docs.google.com/spreadsheets/d/1IYY_tgx_IHuhSq3AJ5eI5OnqOPBNLWSHKh2a30DoXe8/edit?usp=sharing"",""สงขลา!J197"")"),0)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81820</v>
      </c>
      <c r="M290" s="156">
        <f t="shared" ca="1" si="88"/>
        <v>81820</v>
      </c>
      <c r="N290" s="156">
        <f t="shared" ca="1" si="88"/>
        <v>80560</v>
      </c>
      <c r="O290" s="155">
        <f t="shared" ref="O290:O292" ca="1" si="89">IF(L290&gt;0,N290*100/L290,0)</f>
        <v>98.46003422146174</v>
      </c>
      <c r="P290" s="155">
        <f t="shared" ref="P290:P292" ca="1" si="90">IF(M290&gt;0,N290*100/M290,0)</f>
        <v>98.46003422146174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81820</v>
      </c>
      <c r="M292" s="161">
        <f t="shared" ca="1" si="92"/>
        <v>81820</v>
      </c>
      <c r="N292" s="161">
        <f t="shared" ca="1" si="92"/>
        <v>80560</v>
      </c>
      <c r="O292" s="160">
        <f t="shared" ca="1" si="89"/>
        <v>98.46003422146174</v>
      </c>
      <c r="P292" s="160">
        <f t="shared" ca="1" si="90"/>
        <v>98.46003422146174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81820</v>
      </c>
      <c r="M294" s="173">
        <f ca="1">IFERROR(__xludf.DUMMYFUNCTION("IMPORTRANGE(""https://docs.google.com/spreadsheets/d/1Yj_ptqi66GCucihVvJfMjLAmec39IyEx_6qawtMGysU/edit?usp=sharing"",""สบก!CT92"")"),81820)</f>
        <v>81820</v>
      </c>
      <c r="N294" s="174">
        <f ca="1">IFERROR(__xludf.DUMMYFUNCTION("IMPORTRANGE(""https://docs.google.com/spreadsheets/d/1Yj_ptqi66GCucihVvJfMjLAmec39IyEx_6qawtMGysU/edit?usp=sharing"",""สบก!CU92"")"),80560)</f>
        <v>80560</v>
      </c>
      <c r="O294" s="175">
        <f ca="1">IF(L294&gt;0,N294*100/L294,0)</f>
        <v>98.46003422146174</v>
      </c>
      <c r="P294" s="175">
        <f ca="1">IF(M294&gt;0,N294*100/M294,0)</f>
        <v>98.46003422146174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IFERROR(__xludf.DUMMYFUNCTION("IMPORTRANGE(""https://docs.google.com/spreadsheets/d/1Yj_ptqi66GCucihVvJfMjLAmec39IyEx_6qawtMGysU/edit?usp=sharing"",""สบก!CQ92"")"),81820)</f>
        <v>81820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IFERROR(__xludf.DUMMYFUNCTION("IMPORTRANGE(""https://docs.google.com/spreadsheets/d/1IYY_tgx_IHuhSq3AJ5eI5OnqOPBNLWSHKh2a30DoXe8/edit?usp=sharing"",""สงขลา!J205"")"),0)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IFERROR(__xludf.DUMMYFUNCTION("IMPORTRANGE(""https://docs.google.com/spreadsheets/d/1IYY_tgx_IHuhSq3AJ5eI5OnqOPBNLWSHKh2a30DoXe8/edit?usp=sharing"",""สงขลา!J206"")"),1)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IFERROR(__xludf.DUMMYFUNCTION("IMPORTRANGE(""https://docs.google.com/spreadsheets/d/1IYY_tgx_IHuhSq3AJ5eI5OnqOPBNLWSHKh2a30DoXe8/edit?usp=sharing"",""สงขลา!J207"")"),1)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IFERROR(__xludf.DUMMYFUNCTION("IMPORTRANGE(""https://docs.google.com/spreadsheets/d/1IYY_tgx_IHuhSq3AJ5eI5OnqOPBNLWSHKh2a30DoXe8/edit?usp=sharing"",""สงขลา!J208"")"),1)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IFERROR(__xludf.DUMMYFUNCTION("IMPORTRANGE(""https://docs.google.com/spreadsheets/d/1IYY_tgx_IHuhSq3AJ5eI5OnqOPBNLWSHKh2a30DoXe8/edit?usp=sharing"",""สงขลา!I209"")"),15)</f>
        <v>15</v>
      </c>
      <c r="J304" s="210">
        <f ca="1">IFERROR(__xludf.DUMMYFUNCTION("IMPORTRANGE(""https://docs.google.com/spreadsheets/d/1IYY_tgx_IHuhSq3AJ5eI5OnqOPBNLWSHKh2a30DoXe8/edit?usp=sharing"",""สงขลา!J209"")"),15)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IFERROR(__xludf.DUMMYFUNCTION("IMPORTRANGE(""https://docs.google.com/spreadsheets/d/1IYY_tgx_IHuhSq3AJ5eI5OnqOPBNLWSHKh2a30DoXe8/edit?usp=sharing"",""สงขลา!I211"")"),15)</f>
        <v>15</v>
      </c>
      <c r="J306" s="210">
        <f ca="1">IFERROR(__xludf.DUMMYFUNCTION("IMPORTRANGE(""https://docs.google.com/spreadsheets/d/1IYY_tgx_IHuhSq3AJ5eI5OnqOPBNLWSHKh2a30DoXe8/edit?usp=sharing"",""สงขลา!J211"")"),15)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IFERROR(__xludf.DUMMYFUNCTION("IMPORTRANGE(""https://docs.google.com/spreadsheets/d/1IYY_tgx_IHuhSq3AJ5eI5OnqOPBNLWSHKh2a30DoXe8/edit?usp=sharing"",""สงขลา!J212"")"),0)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IFERROR(__xludf.DUMMYFUNCTION("IMPORTRANGE(""https://docs.google.com/spreadsheets/d/1IYY_tgx_IHuhSq3AJ5eI5OnqOPBNLWSHKh2a30DoXe8/edit?usp=sharing"",""สงขลา!J213"")"),0)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1267600</v>
      </c>
      <c r="M310" s="156">
        <f t="shared" ca="1" si="93"/>
        <v>1267600</v>
      </c>
      <c r="N310" s="156">
        <f t="shared" ca="1" si="93"/>
        <v>1184250</v>
      </c>
      <c r="O310" s="155">
        <f t="shared" ref="O310:O312" ca="1" si="94">IF(L310&gt;0,N310*100/L310,0)</f>
        <v>93.424581887030612</v>
      </c>
      <c r="P310" s="155">
        <f t="shared" ref="P310:P312" ca="1" si="95">IF(M310&gt;0,N310*100/M310,0)</f>
        <v>93.424581887030612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1267600</v>
      </c>
      <c r="M312" s="161">
        <f t="shared" ca="1" si="97"/>
        <v>1267600</v>
      </c>
      <c r="N312" s="161">
        <f t="shared" ca="1" si="97"/>
        <v>1184250</v>
      </c>
      <c r="O312" s="160">
        <f t="shared" ca="1" si="94"/>
        <v>93.424581887030612</v>
      </c>
      <c r="P312" s="160">
        <f t="shared" ca="1" si="95"/>
        <v>93.424581887030612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217600</v>
      </c>
      <c r="M314" s="173">
        <f ca="1">IFERROR(__xludf.DUMMYFUNCTION("IMPORTRANGE(""https://docs.google.com/spreadsheets/d/1Yj_ptqi66GCucihVvJfMjLAmec39IyEx_6qawtMGysU/edit?usp=sharing"",""สบก!DC92"")"),217600)</f>
        <v>217600</v>
      </c>
      <c r="N314" s="174">
        <f ca="1">IFERROR(__xludf.DUMMYFUNCTION("IMPORTRANGE(""https://docs.google.com/spreadsheets/d/1Yj_ptqi66GCucihVvJfMjLAmec39IyEx_6qawtMGysU/edit?usp=sharing"",""สบก!DD92"")"),140250)</f>
        <v>140250</v>
      </c>
      <c r="O314" s="175">
        <f ca="1">IF(L314&gt;0,N314*100/L314,0)</f>
        <v>64.453125</v>
      </c>
      <c r="P314" s="175">
        <f ca="1">IF(M314&gt;0,N314*100/M314,0)</f>
        <v>64.453125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IFERROR(__xludf.DUMMYFUNCTION("IMPORTRANGE(""https://docs.google.com/spreadsheets/d/1Yj_ptqi66GCucihVvJfMjLAmec39IyEx_6qawtMGysU/edit?usp=sharing"",""สบก!CZ92"")"),217600)</f>
        <v>217600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IFERROR(__xludf.DUMMYFUNCTION("IMPORTRANGE(""https://docs.google.com/spreadsheets/d/1Yj_ptqi66GCucihVvJfMjLAmec39IyEx_6qawtMGysU/edit?usp=sharing"",""สบก!DA92"")"),1050000)</f>
        <v>1050000</v>
      </c>
      <c r="M318" s="101">
        <f ca="1">L318</f>
        <v>1050000</v>
      </c>
      <c r="N318" s="91">
        <f ca="1">IFERROR(__xludf.DUMMYFUNCTION("IMPORTRANGE(""https://docs.google.com/spreadsheets/d/1Yj_ptqi66GCucihVvJfMjLAmec39IyEx_6qawtMGysU/edit?usp=sharing"",""สบก!DE92"")"),1044000)</f>
        <v>1044000</v>
      </c>
      <c r="O318" s="101">
        <f ca="1">IF(L318&gt;0,N318*100/L318,0)</f>
        <v>99.428571428571431</v>
      </c>
      <c r="P318" s="101">
        <f ca="1">IF(M318&gt;0,N318*100/M318,0)</f>
        <v>99.428571428571431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IFERROR(__xludf.DUMMYFUNCTION("IMPORTRANGE(""https://docs.google.com/spreadsheets/d/1IYY_tgx_IHuhSq3AJ5eI5OnqOPBNLWSHKh2a30DoXe8/edit?usp=sharing"",""สงขลา!J220"")"),0)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IFERROR(__xludf.DUMMYFUNCTION("IMPORTRANGE(""https://docs.google.com/spreadsheets/d/1IYY_tgx_IHuhSq3AJ5eI5OnqOPBNLWSHKh2a30DoXe8/edit?usp=sharing"",""สงขลา!J221"")"),1)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IFERROR(__xludf.DUMMYFUNCTION("IMPORTRANGE(""https://docs.google.com/spreadsheets/d/1IYY_tgx_IHuhSq3AJ5eI5OnqOPBNLWSHKh2a30DoXe8/edit?usp=sharing"",""สงขลา!J222"")"),1)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IFERROR(__xludf.DUMMYFUNCTION("IMPORTRANGE(""https://docs.google.com/spreadsheets/d/1IYY_tgx_IHuhSq3AJ5eI5OnqOPBNLWSHKh2a30DoXe8/edit?usp=sharing"",""สงขลา!J223"")"),1)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IFERROR(__xludf.DUMMYFUNCTION("IMPORTRANGE(""https://docs.google.com/spreadsheets/d/1IYY_tgx_IHuhSq3AJ5eI5OnqOPBNLWSHKh2a30DoXe8/edit?usp=sharing"",""สงขลา!I224"")"),1)</f>
        <v>1</v>
      </c>
      <c r="J324" s="210">
        <f ca="1">IFERROR(__xludf.DUMMYFUNCTION("IMPORTRANGE(""https://docs.google.com/spreadsheets/d/1IYY_tgx_IHuhSq3AJ5eI5OnqOPBNLWSHKh2a30DoXe8/edit?usp=sharing"",""สงขลา!J224"")"),1)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IFERROR(__xludf.DUMMYFUNCTION("IMPORTRANGE(""https://docs.google.com/spreadsheets/d/1IYY_tgx_IHuhSq3AJ5eI5OnqOPBNLWSHKh2a30DoXe8/edit?usp=sharing"",""สงขลา!J225"")"),0)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IFERROR(__xludf.DUMMYFUNCTION("IMPORTRANGE(""https://docs.google.com/spreadsheets/d/1IYY_tgx_IHuhSq3AJ5eI5OnqOPBNLWSHKh2a30DoXe8/edit?usp=sharing"",""สงขลา!J226"")"),0)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IFERROR(__xludf.DUMMYFUNCTION("IMPORTRANGE(""https://docs.google.com/spreadsheets/d/1IYY_tgx_IHuhSq3AJ5eI5OnqOPBNLWSHKh2a30DoXe8/edit?usp=sharing"",""สงขลา!J228"")"),321)</f>
        <v>321</v>
      </c>
      <c r="K328" s="323">
        <f ca="1">IF(I328&gt;0,J328*100/I328,0)</f>
        <v>152.85714285714286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1143610</v>
      </c>
      <c r="M329" s="156">
        <f t="shared" ca="1" si="98"/>
        <v>1185410</v>
      </c>
      <c r="N329" s="156">
        <f t="shared" ca="1" si="98"/>
        <v>959333.56</v>
      </c>
      <c r="O329" s="155">
        <f t="shared" ref="O329:O331" ca="1" si="99">IF(L329&gt;0,N329*100/L329,0)</f>
        <v>83.886426316663901</v>
      </c>
      <c r="P329" s="155">
        <f t="shared" ref="P329:P331" ca="1" si="100">IF(M329&gt;0,N329*100/M329,0)</f>
        <v>80.928418015707649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1143610</v>
      </c>
      <c r="M331" s="161">
        <f t="shared" ca="1" si="102"/>
        <v>1185410</v>
      </c>
      <c r="N331" s="161">
        <f t="shared" ca="1" si="102"/>
        <v>959333.56</v>
      </c>
      <c r="O331" s="160">
        <f t="shared" ca="1" si="99"/>
        <v>83.886426316663901</v>
      </c>
      <c r="P331" s="160">
        <f t="shared" ca="1" si="100"/>
        <v>80.928418015707649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1126610</v>
      </c>
      <c r="M333" s="173">
        <f ca="1">IFERROR(__xludf.DUMMYFUNCTION("IMPORTRANGE(""https://docs.google.com/spreadsheets/d/1Yj_ptqi66GCucihVvJfMjLAmec39IyEx_6qawtMGysU/edit?usp=sharing"",""สบก!DL92"")"),1168410)</f>
        <v>1168410</v>
      </c>
      <c r="N333" s="174">
        <f ca="1">IFERROR(__xludf.DUMMYFUNCTION("IMPORTRANGE(""https://docs.google.com/spreadsheets/d/1Yj_ptqi66GCucihVvJfMjLAmec39IyEx_6qawtMGysU/edit?usp=sharing"",""สบก!DM92"")"),942333.56)</f>
        <v>942333.56</v>
      </c>
      <c r="O333" s="175">
        <f ca="1">IF(L333&gt;0,N333*100/L333,0)</f>
        <v>83.643280283327854</v>
      </c>
      <c r="P333" s="175">
        <f ca="1">IF(M333&gt;0,N333*100/M333,0)</f>
        <v>80.650932463775561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IFERROR(__xludf.DUMMYFUNCTION("IMPORTRANGE(""https://docs.google.com/spreadsheets/d/1Yj_ptqi66GCucihVvJfMjLAmec39IyEx_6qawtMGysU/edit?usp=sharing"",""สบก!DH92"")"),773000)</f>
        <v>773000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IFERROR(__xludf.DUMMYFUNCTION("IMPORTRANGE(""https://docs.google.com/spreadsheets/d/1Yj_ptqi66GCucihVvJfMjLAmec39IyEx_6qawtMGysU/edit?usp=sharing"",""สบก!DI92"")"),353610)</f>
        <v>353610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IFERROR(__xludf.DUMMYFUNCTION("IMPORTRANGE(""https://docs.google.com/spreadsheets/d/1IYY_tgx_IHuhSq3AJ5eI5OnqOPBNLWSHKh2a30DoXe8/edit?usp=sharing"",""สงขลา!I234"")"),0)</f>
        <v>0</v>
      </c>
      <c r="J339" s="194">
        <f ca="1">IFERROR(__xludf.DUMMYFUNCTION("IMPORTRANGE(""https://docs.google.com/spreadsheets/d/1IYY_tgx_IHuhSq3AJ5eI5OnqOPBNLWSHKh2a30DoXe8/edit?usp=sharing"",""สงขลา!J234"")"),209)</f>
        <v>209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IFERROR(__xludf.DUMMYFUNCTION("IMPORTRANGE(""https://docs.google.com/spreadsheets/d/1IYY_tgx_IHuhSq3AJ5eI5OnqOPBNLWSHKh2a30DoXe8/edit?usp=sharing"",""สงขลา!I235"")"),1720)</f>
        <v>1720</v>
      </c>
      <c r="J340" s="194">
        <f ca="1">IFERROR(__xludf.DUMMYFUNCTION("IMPORTRANGE(""https://docs.google.com/spreadsheets/d/1IYY_tgx_IHuhSq3AJ5eI5OnqOPBNLWSHKh2a30DoXe8/edit?usp=sharing"",""สงขลา!J235"")"),1747.22)</f>
        <v>1747.22</v>
      </c>
      <c r="K340" s="348">
        <f t="shared" ca="1" si="103"/>
        <v>101.58255813953488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IFERROR(__xludf.DUMMYFUNCTION("IMPORTRANGE(""https://docs.google.com/spreadsheets/d/1IYY_tgx_IHuhSq3AJ5eI5OnqOPBNLWSHKh2a30DoXe8/edit?usp=sharing"",""สงขลา!I236"")"),210)</f>
        <v>210</v>
      </c>
      <c r="J341" s="194">
        <f ca="1">IFERROR(__xludf.DUMMYFUNCTION("IMPORTRANGE(""https://docs.google.com/spreadsheets/d/1IYY_tgx_IHuhSq3AJ5eI5OnqOPBNLWSHKh2a30DoXe8/edit?usp=sharing"",""สงขลา!J236"")"),339)</f>
        <v>339</v>
      </c>
      <c r="K341" s="348">
        <f t="shared" ca="1" si="103"/>
        <v>161.42857142857142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4">
        <f ca="1">IFERROR(__xludf.DUMMYFUNCTION("IMPORTRANGE(""https://docs.google.com/spreadsheets/d/1IYY_tgx_IHuhSq3AJ5eI5OnqOPBNLWSHKh2a30DoXe8/edit?usp=sharing"",""สงขลา!J237"")"),3655.64)</f>
        <v>3655.64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IFERROR(__xludf.DUMMYFUNCTION("IMPORTRANGE(""https://docs.google.com/spreadsheets/d/1IYY_tgx_IHuhSq3AJ5eI5OnqOPBNLWSHKh2a30DoXe8/edit?usp=sharing"",""สงขลา!I238"")"),210)</f>
        <v>210</v>
      </c>
      <c r="J343" s="194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4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IFERROR(__xludf.DUMMYFUNCTION("IMPORTRANGE(""https://docs.google.com/spreadsheets/d/1IYY_tgx_IHuhSq3AJ5eI5OnqOPBNLWSHKh2a30DoXe8/edit?usp=sharing"",""สงขลา!I240"")"),210)</f>
        <v>210</v>
      </c>
      <c r="J345" s="194">
        <f ca="1">IFERROR(__xludf.DUMMYFUNCTION("IMPORTRANGE(""https://docs.google.com/spreadsheets/d/1IYY_tgx_IHuhSq3AJ5eI5OnqOPBNLWSHKh2a30DoXe8/edit?usp=sharing"",""สงขลา!J240"")"),321)</f>
        <v>321</v>
      </c>
      <c r="K345" s="348">
        <f t="shared" ca="1" si="103"/>
        <v>152.85714285714286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4">
        <f ca="1">IFERROR(__xludf.DUMMYFUNCTION("IMPORTRANGE(""https://docs.google.com/spreadsheets/d/1IYY_tgx_IHuhSq3AJ5eI5OnqOPBNLWSHKh2a30DoXe8/edit?usp=sharing"",""สงขลา!J241"")"),3567.56)</f>
        <v>3567.56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IFERROR(__xludf.DUMMYFUNCTION("IMPORTRANGE(""https://docs.google.com/spreadsheets/d/1IYY_tgx_IHuhSq3AJ5eI5OnqOPBNLWSHKh2a30DoXe8/edit?usp=sharing"",""สงขลา!L242"")"),1642464)</f>
        <v>1642464</v>
      </c>
      <c r="M347" s="364"/>
      <c r="N347" s="364">
        <f ca="1">IFERROR(__xludf.DUMMYFUNCTION("IMPORTRANGE(""https://docs.google.com/spreadsheets/d/1IYY_tgx_IHuhSq3AJ5eI5OnqOPBNLWSHKh2a30DoXe8/edit?usp=sharing"",""สงขลา!M242"")"),1405329.2)</f>
        <v>1405329.2</v>
      </c>
      <c r="O347" s="364">
        <f ca="1">+IF(L347&gt;0,N347*100/L347,0)</f>
        <v>85.562252810411678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IFERROR(__xludf.DUMMYFUNCTION("IMPORTRANGE(""https://docs.google.com/spreadsheets/d/1IYY_tgx_IHuhSq3AJ5eI5OnqOPBNLWSHKh2a30DoXe8/edit?usp=sharing"",""สงขลา!J244"")"),230)</f>
        <v>230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IFERROR(__xludf.DUMMYFUNCTION("IMPORTRANGE(""https://docs.google.com/spreadsheets/d/1IYY_tgx_IHuhSq3AJ5eI5OnqOPBNLWSHKh2a30DoXe8/edit?usp=sharing"",""สงขลา!L244"")"),461480)</f>
        <v>461480</v>
      </c>
      <c r="M349" s="379"/>
      <c r="N349" s="379">
        <f ca="1">IFERROR(__xludf.DUMMYFUNCTION("IMPORTRANGE(""https://docs.google.com/spreadsheets/d/1IYY_tgx_IHuhSq3AJ5eI5OnqOPBNLWSHKh2a30DoXe8/edit?usp=sharing"",""สงขลา!M244"")"),411931)</f>
        <v>411931</v>
      </c>
      <c r="O349" s="379">
        <f ca="1">+IF(L349&gt;0,N349*100/L349,0)</f>
        <v>89.263023316286734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IFERROR(__xludf.DUMMYFUNCTION("IMPORTRANGE(""https://docs.google.com/spreadsheets/d/1IYY_tgx_IHuhSq3AJ5eI5OnqOPBNLWSHKh2a30DoXe8/edit?usp=sharing"",""สงขลา!J245"")"),60)</f>
        <v>60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IFERROR(__xludf.DUMMYFUNCTION("IMPORTRANGE(""https://docs.google.com/spreadsheets/d/1IYY_tgx_IHuhSq3AJ5eI5OnqOPBNLWSHKh2a30DoXe8/edit?usp=sharing"",""สงขลา!L246"")"),0)</f>
        <v>0</v>
      </c>
      <c r="M351" s="168"/>
      <c r="N351" s="168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IFERROR(__xludf.DUMMYFUNCTION("IMPORTRANGE(""https://docs.google.com/spreadsheets/d/1IYY_tgx_IHuhSq3AJ5eI5OnqOPBNLWSHKh2a30DoXe8/edit?usp=sharing"",""สงขลา!L247"")"),461480)</f>
        <v>461480</v>
      </c>
      <c r="M352" s="169"/>
      <c r="N352" s="168">
        <f ca="1">IFERROR(__xludf.DUMMYFUNCTION("IMPORTRANGE(""https://docs.google.com/spreadsheets/d/1IYY_tgx_IHuhSq3AJ5eI5OnqOPBNLWSHKh2a30DoXe8/edit?usp=sharing"",""สงขลา!M247"")"),411931)</f>
        <v>411931</v>
      </c>
      <c r="O352" s="169">
        <f t="shared" ca="1" si="105"/>
        <v>89.263023316286734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IFERROR(__xludf.DUMMYFUNCTION("IMPORTRANGE(""https://docs.google.com/spreadsheets/d/1IYY_tgx_IHuhSq3AJ5eI5OnqOPBNLWSHKh2a30DoXe8/edit?usp=sharing"",""สงขลา!L248"")"),0)</f>
        <v>0</v>
      </c>
      <c r="M353" s="175"/>
      <c r="N353" s="175">
        <f ca="1">IFERROR(__xludf.DUMMYFUNCTION("IMPORTRANGE(""https://docs.google.com/spreadsheets/d/1IYY_tgx_IHuhSq3AJ5eI5OnqOPBNLWSHKh2a30DoXe8/edit?usp=sharing"",""สงขลา!M248"")"),0)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IFERROR(__xludf.DUMMYFUNCTION("IMPORTRANGE(""https://docs.google.com/spreadsheets/d/1IYY_tgx_IHuhSq3AJ5eI5OnqOPBNLWSHKh2a30DoXe8/edit?usp=sharing"",""สงขลา!L249"")"),461480)</f>
        <v>461480</v>
      </c>
      <c r="M354" s="175"/>
      <c r="N354" s="172">
        <f ca="1">IFERROR(__xludf.DUMMYFUNCTION("IMPORTRANGE(""https://docs.google.com/spreadsheets/d/1IYY_tgx_IHuhSq3AJ5eI5OnqOPBNLWSHKh2a30DoXe8/edit?usp=sharing"",""สงขลา!M249"")"),411931)</f>
        <v>411931</v>
      </c>
      <c r="O354" s="175">
        <f t="shared" ca="1" si="105"/>
        <v>89.263023316286734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IFERROR(__xludf.DUMMYFUNCTION("IMPORTRANGE(""https://docs.google.com/spreadsheets/d/1IYY_tgx_IHuhSq3AJ5eI5OnqOPBNLWSHKh2a30DoXe8/edit?usp=sharing"",""สงขลา!M250"")"),73200)</f>
        <v>73200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IFERROR(__xludf.DUMMYFUNCTION("IMPORTRANGE(""https://docs.google.com/spreadsheets/d/1IYY_tgx_IHuhSq3AJ5eI5OnqOPBNLWSHKh2a30DoXe8/edit?usp=sharing"",""สงขลา!M251"")"),200000)</f>
        <v>200000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IFERROR(__xludf.DUMMYFUNCTION("IMPORTRANGE(""https://docs.google.com/spreadsheets/d/1IYY_tgx_IHuhSq3AJ5eI5OnqOPBNLWSHKh2a30DoXe8/edit?usp=sharing"",""สงขลา!M252"")"),106451)</f>
        <v>106451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IFERROR(__xludf.DUMMYFUNCTION("IMPORTRANGE(""https://docs.google.com/spreadsheets/d/1IYY_tgx_IHuhSq3AJ5eI5OnqOPBNLWSHKh2a30DoXe8/edit?usp=sharing"",""สงขลา!M253"")"),32280)</f>
        <v>32280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IFERROR(__xludf.DUMMYFUNCTION("IMPORTRANGE(""https://docs.google.com/spreadsheets/d/1IYY_tgx_IHuhSq3AJ5eI5OnqOPBNLWSHKh2a30DoXe8/edit?usp=sharing"",""สงขลา!J255"")"),0)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IFERROR(__xludf.DUMMYFUNCTION("IMPORTRANGE(""https://docs.google.com/spreadsheets/d/1IYY_tgx_IHuhSq3AJ5eI5OnqOPBNLWSHKh2a30DoXe8/edit?usp=sharing"",""สงขลา!J256"")"),1)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IFERROR(__xludf.DUMMYFUNCTION("IMPORTRANGE(""https://docs.google.com/spreadsheets/d/1IYY_tgx_IHuhSq3AJ5eI5OnqOPBNLWSHKh2a30DoXe8/edit?usp=sharing"",""สงขลา!J257"")"),1)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IFERROR(__xludf.DUMMYFUNCTION("IMPORTRANGE(""https://docs.google.com/spreadsheets/d/1IYY_tgx_IHuhSq3AJ5eI5OnqOPBNLWSHKh2a30DoXe8/edit?usp=sharing"",""สงขลา!J258"")"),1)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IFERROR(__xludf.DUMMYFUNCTION("IMPORTRANGE(""https://docs.google.com/spreadsheets/d/1IYY_tgx_IHuhSq3AJ5eI5OnqOPBNLWSHKh2a30DoXe8/edit?usp=sharing"",""สงขลา!J166"")"),0)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IFERROR(__xludf.DUMMYFUNCTION("IMPORTRANGE(""https://docs.google.com/spreadsheets/d/1IYY_tgx_IHuhSq3AJ5eI5OnqOPBNLWSHKh2a30DoXe8/edit?usp=sharing"",""สงขลา!J166"")"),0)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IFERROR(__xludf.DUMMYFUNCTION("IMPORTRANGE(""https://docs.google.com/spreadsheets/d/1IYY_tgx_IHuhSq3AJ5eI5OnqOPBNLWSHKh2a30DoXe8/edit?usp=sharing"",""สงขลา!J166"")"),0)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IFERROR(__xludf.DUMMYFUNCTION("IMPORTRANGE(""https://docs.google.com/spreadsheets/d/1IYY_tgx_IHuhSq3AJ5eI5OnqOPBNLWSHKh2a30DoXe8/edit?usp=sharing"",""สงขลา!J166"")"),0)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IFERROR(__xludf.DUMMYFUNCTION("IMPORTRANGE(""https://docs.google.com/spreadsheets/d/1IYY_tgx_IHuhSq3AJ5eI5OnqOPBNLWSHKh2a30DoXe8/edit?usp=sharing"",""สงขลา!I263"")"),60)</f>
        <v>60</v>
      </c>
      <c r="J368" s="194">
        <f ca="1">IFERROR(__xludf.DUMMYFUNCTION("IMPORTRANGE(""https://docs.google.com/spreadsheets/d/1IYY_tgx_IHuhSq3AJ5eI5OnqOPBNLWSHKh2a30DoXe8/edit?usp=sharing"",""สงขลา!J263"")"),60)</f>
        <v>60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IFERROR(__xludf.DUMMYFUNCTION("IMPORTRANGE(""https://docs.google.com/spreadsheets/d/1IYY_tgx_IHuhSq3AJ5eI5OnqOPBNLWSHKh2a30DoXe8/edit?usp=sharing"",""สงขลา!I164"")"),0)</f>
        <v>0</v>
      </c>
      <c r="J369" s="210">
        <f ca="1">IFERROR(__xludf.DUMMYFUNCTION("IMPORTRANGE(""https://docs.google.com/spreadsheets/d/1IYY_tgx_IHuhSq3AJ5eI5OnqOPBNLWSHKh2a30DoXe8/edit?usp=sharing"",""สงขลา!J164"")"),0)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IFERROR(__xludf.DUMMYFUNCTION("IMPORTRANGE(""https://docs.google.com/spreadsheets/d/1IYY_tgx_IHuhSq3AJ5eI5OnqOPBNLWSHKh2a30DoXe8/edit?usp=sharing"",""สงขลา!I265"")"),60)</f>
        <v>60</v>
      </c>
      <c r="J370" s="210">
        <f ca="1">IFERROR(__xludf.DUMMYFUNCTION("IMPORTRANGE(""https://docs.google.com/spreadsheets/d/1IYY_tgx_IHuhSq3AJ5eI5OnqOPBNLWSHKh2a30DoXe8/edit?usp=sharing"",""สงขลา!J265"")"),60)</f>
        <v>60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IFERROR(__xludf.DUMMYFUNCTION("IMPORTRANGE(""https://docs.google.com/spreadsheets/d/1IYY_tgx_IHuhSq3AJ5eI5OnqOPBNLWSHKh2a30DoXe8/edit?usp=sharing"",""สงขลา!I164"")"),0)</f>
        <v>0</v>
      </c>
      <c r="J371" s="195">
        <f ca="1">IFERROR(__xludf.DUMMYFUNCTION("IMPORTRANGE(""https://docs.google.com/spreadsheets/d/1IYY_tgx_IHuhSq3AJ5eI5OnqOPBNLWSHKh2a30DoXe8/edit?usp=sharing"",""สงขลา!J164"")"),0)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IFERROR(__xludf.DUMMYFUNCTION("IMPORTRANGE(""https://docs.google.com/spreadsheets/d/1IYY_tgx_IHuhSq3AJ5eI5OnqOPBNLWSHKh2a30DoXe8/edit?usp=sharing"",""สงขลา!I267"")"),60)</f>
        <v>60</v>
      </c>
      <c r="J372" s="195">
        <f ca="1">IFERROR(__xludf.DUMMYFUNCTION("IMPORTRANGE(""https://docs.google.com/spreadsheets/d/1IYY_tgx_IHuhSq3AJ5eI5OnqOPBNLWSHKh2a30DoXe8/edit?usp=sharing"",""สงขลา!J267"")"),60)</f>
        <v>60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IFERROR(__xludf.DUMMYFUNCTION("IMPORTRANGE(""https://docs.google.com/spreadsheets/d/1IYY_tgx_IHuhSq3AJ5eI5OnqOPBNLWSHKh2a30DoXe8/edit?usp=sharing"",""สงขลา!I164"")"),0)</f>
        <v>0</v>
      </c>
      <c r="J373" s="210">
        <f ca="1">IFERROR(__xludf.DUMMYFUNCTION("IMPORTRANGE(""https://docs.google.com/spreadsheets/d/1IYY_tgx_IHuhSq3AJ5eI5OnqOPBNLWSHKh2a30DoXe8/edit?usp=sharing"",""สงขลา!J164"")"),0)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IFERROR(__xludf.DUMMYFUNCTION("IMPORTRANGE(""https://docs.google.com/spreadsheets/d/1IYY_tgx_IHuhSq3AJ5eI5OnqOPBNLWSHKh2a30DoXe8/edit?usp=sharing"",""สงขลา!I164"")"),0)</f>
        <v>0</v>
      </c>
      <c r="J374" s="194">
        <f ca="1">IFERROR(__xludf.DUMMYFUNCTION("IMPORTRANGE(""https://docs.google.com/spreadsheets/d/1IYY_tgx_IHuhSq3AJ5eI5OnqOPBNLWSHKh2a30DoXe8/edit?usp=sharing"",""สงขลา!J164"")"),0)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IFERROR(__xludf.DUMMYFUNCTION("IMPORTRANGE(""https://docs.google.com/spreadsheets/d/1IYY_tgx_IHuhSq3AJ5eI5OnqOPBNLWSHKh2a30DoXe8/edit?usp=sharing"",""สงขลา!I270"")"),230)</f>
        <v>230</v>
      </c>
      <c r="J375" s="194">
        <f ca="1">IFERROR(__xludf.DUMMYFUNCTION("IMPORTRANGE(""https://docs.google.com/spreadsheets/d/1IYY_tgx_IHuhSq3AJ5eI5OnqOPBNLWSHKh2a30DoXe8/edit?usp=sharing"",""สงขลา!J270"")"),230)</f>
        <v>230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IFERROR(__xludf.DUMMYFUNCTION("IMPORTRANGE(""https://docs.google.com/spreadsheets/d/1IYY_tgx_IHuhSq3AJ5eI5OnqOPBNLWSHKh2a30DoXe8/edit?usp=sharing"",""สงขลา!I271"")"),80)</f>
        <v>80</v>
      </c>
      <c r="J376" s="195">
        <f ca="1">IFERROR(__xludf.DUMMYFUNCTION("IMPORTRANGE(""https://docs.google.com/spreadsheets/d/1IYY_tgx_IHuhSq3AJ5eI5OnqOPBNLWSHKh2a30DoXe8/edit?usp=sharing"",""สงขลา!J271"")"),80)</f>
        <v>80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IFERROR(__xludf.DUMMYFUNCTION("IMPORTRANGE(""https://docs.google.com/spreadsheets/d/1IYY_tgx_IHuhSq3AJ5eI5OnqOPBNLWSHKh2a30DoXe8/edit?usp=sharing"",""สงขลา!I272"")"),150)</f>
        <v>150</v>
      </c>
      <c r="J377" s="210">
        <f ca="1">IFERROR(__xludf.DUMMYFUNCTION("IMPORTRANGE(""https://docs.google.com/spreadsheets/d/1IYY_tgx_IHuhSq3AJ5eI5OnqOPBNLWSHKh2a30DoXe8/edit?usp=sharing"",""สงขลา!J272"")"),150)</f>
        <v>150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IFERROR(__xludf.DUMMYFUNCTION("IMPORTRANGE(""https://docs.google.com/spreadsheets/d/1IYY_tgx_IHuhSq3AJ5eI5OnqOPBNLWSHKh2a30DoXe8/edit?usp=sharing"",""สงขลา!J273"")"),0)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IFERROR(__xludf.DUMMYFUNCTION("IMPORTRANGE(""https://docs.google.com/spreadsheets/d/1IYY_tgx_IHuhSq3AJ5eI5OnqOPBNLWSHKh2a30DoXe8/edit?usp=sharing"",""สงขลา!J274"")"),0)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IFERROR(__xludf.DUMMYFUNCTION("IMPORTRANGE(""https://docs.google.com/spreadsheets/d/1IYY_tgx_IHuhSq3AJ5eI5OnqOPBNLWSHKh2a30DoXe8/edit?usp=sharing"",""สงขลา!J275"")"),200)</f>
        <v>200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IFERROR(__xludf.DUMMYFUNCTION("IMPORTRANGE(""https://docs.google.com/spreadsheets/d/1IYY_tgx_IHuhSq3AJ5eI5OnqOPBNLWSHKh2a30DoXe8/edit?usp=sharing"",""สงขลา!M275"")"),204080)</f>
        <v>204080</v>
      </c>
      <c r="O380" s="379">
        <f ca="1">+IF(L380&gt;0,N380*100/L380,0)</f>
        <v>98.323376373096934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IFERROR(__xludf.DUMMYFUNCTION("IMPORTRANGE(""https://docs.google.com/spreadsheets/d/1IYY_tgx_IHuhSq3AJ5eI5OnqOPBNLWSHKh2a30DoXe8/edit?usp=sharing"",""สงขลา!L277"")"),0)</f>
        <v>0</v>
      </c>
      <c r="M382" s="168"/>
      <c r="N382" s="168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IFERROR(__xludf.DUMMYFUNCTION("IMPORTRANGE(""https://docs.google.com/spreadsheets/d/1IYY_tgx_IHuhSq3AJ5eI5OnqOPBNLWSHKh2a30DoXe8/edit?usp=sharing"",""สงขลา!M278"")"),204080)</f>
        <v>204080</v>
      </c>
      <c r="O383" s="169">
        <f t="shared" ca="1" si="109"/>
        <v>98.323376373096934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IFERROR(__xludf.DUMMYFUNCTION("IMPORTRANGE(""https://docs.google.com/spreadsheets/d/1IYY_tgx_IHuhSq3AJ5eI5OnqOPBNLWSHKh2a30DoXe8/edit?usp=sharing"",""สงขลา!L279"")"),0)</f>
        <v>0</v>
      </c>
      <c r="M384" s="175"/>
      <c r="N384" s="175">
        <f ca="1">IFERROR(__xludf.DUMMYFUNCTION("IMPORTRANGE(""https://docs.google.com/spreadsheets/d/1IYY_tgx_IHuhSq3AJ5eI5OnqOPBNLWSHKh2a30DoXe8/edit?usp=sharing"",""สงขลา!M279"")"),0)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IFERROR(__xludf.DUMMYFUNCTION("IMPORTRANGE(""https://docs.google.com/spreadsheets/d/1IYY_tgx_IHuhSq3AJ5eI5OnqOPBNLWSHKh2a30DoXe8/edit?usp=sharing"",""สงขลา!L280"")"),207560)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IFERROR(__xludf.DUMMYFUNCTION("IMPORTRANGE(""https://docs.google.com/spreadsheets/d/1IYY_tgx_IHuhSq3AJ5eI5OnqOPBNLWSHKh2a30DoXe8/edit?usp=sharing"",""สงขลา!M280"")"),204080)</f>
        <v>204080</v>
      </c>
      <c r="O385" s="175">
        <f t="shared" ca="1" si="109"/>
        <v>98.323376373096934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IFERROR(__xludf.DUMMYFUNCTION("IMPORTRANGE(""https://docs.google.com/spreadsheets/d/1IYY_tgx_IHuhSq3AJ5eI5OnqOPBNLWSHKh2a30DoXe8/edit?usp=sharing"",""สงขลา!M282"")"),125000)</f>
        <v>125000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IFERROR(__xludf.DUMMYFUNCTION("IMPORTRANGE(""https://docs.google.com/spreadsheets/d/1IYY_tgx_IHuhSq3AJ5eI5OnqOPBNLWSHKh2a30DoXe8/edit?usp=sharing"",""สงขลา!M284"")"),20280)</f>
        <v>20280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IFERROR(__xludf.DUMMYFUNCTION("IMPORTRANGE(""https://docs.google.com/spreadsheets/d/1IYY_tgx_IHuhSq3AJ5eI5OnqOPBNLWSHKh2a30DoXe8/edit?usp=sharing"",""สงขลา!J286"")"),0)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IFERROR(__xludf.DUMMYFUNCTION("IMPORTRANGE(""https://docs.google.com/spreadsheets/d/1IYY_tgx_IHuhSq3AJ5eI5OnqOPBNLWSHKh2a30DoXe8/edit?usp=sharing"",""สงขลา!J287"")"),1)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IFERROR(__xludf.DUMMYFUNCTION("IMPORTRANGE(""https://docs.google.com/spreadsheets/d/1IYY_tgx_IHuhSq3AJ5eI5OnqOPBNLWSHKh2a30DoXe8/edit?usp=sharing"",""สงขลา!J288"")"),1)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IFERROR(__xludf.DUMMYFUNCTION("IMPORTRANGE(""https://docs.google.com/spreadsheets/d/1IYY_tgx_IHuhSq3AJ5eI5OnqOPBNLWSHKh2a30DoXe8/edit?usp=sharing"",""สงขลา!J289"")"),1)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IFERROR(__xludf.DUMMYFUNCTION("IMPORTRANGE(""https://docs.google.com/spreadsheets/d/1IYY_tgx_IHuhSq3AJ5eI5OnqOPBNLWSHKh2a30DoXe8/edit?usp=sharing"",""สงขลา!I291"")"),20)</f>
        <v>20</v>
      </c>
      <c r="J396" s="204">
        <f ca="1">IFERROR(__xludf.DUMMYFUNCTION("IMPORTRANGE(""https://docs.google.com/spreadsheets/d/1IYY_tgx_IHuhSq3AJ5eI5OnqOPBNLWSHKh2a30DoXe8/edit?usp=sharing"",""สงขลา!J291"")"),20)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IFERROR(__xludf.DUMMYFUNCTION("IMPORTRANGE(""https://docs.google.com/spreadsheets/d/1IYY_tgx_IHuhSq3AJ5eI5OnqOPBNLWSHKh2a30DoXe8/edit?usp=sharing"",""สงขลา!I292"")"),200)</f>
        <v>200</v>
      </c>
      <c r="J397" s="204">
        <f ca="1">IFERROR(__xludf.DUMMYFUNCTION("IMPORTRANGE(""https://docs.google.com/spreadsheets/d/1IYY_tgx_IHuhSq3AJ5eI5OnqOPBNLWSHKh2a30DoXe8/edit?usp=sharing"",""สงขลา!J292"")"),200)</f>
        <v>200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IFERROR(__xludf.DUMMYFUNCTION("IMPORTRANGE(""https://docs.google.com/spreadsheets/d/1IYY_tgx_IHuhSq3AJ5eI5OnqOPBNLWSHKh2a30DoXe8/edit?usp=sharing"",""สงขลา!I293"")"),20)</f>
        <v>20</v>
      </c>
      <c r="J398" s="204">
        <f ca="1">IFERROR(__xludf.DUMMYFUNCTION("IMPORTRANGE(""https://docs.google.com/spreadsheets/d/1IYY_tgx_IHuhSq3AJ5eI5OnqOPBNLWSHKh2a30DoXe8/edit?usp=sharing"",""สงขลา!J293"")"),20)</f>
        <v>20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IFERROR(__xludf.DUMMYFUNCTION("IMPORTRANGE(""https://docs.google.com/spreadsheets/d/1IYY_tgx_IHuhSq3AJ5eI5OnqOPBNLWSHKh2a30DoXe8/edit?usp=sharing"",""สงขลา!J294"")"),0)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IFERROR(__xludf.DUMMYFUNCTION("IMPORTRANGE(""https://docs.google.com/spreadsheets/d/1IYY_tgx_IHuhSq3AJ5eI5OnqOPBNLWSHKh2a30DoXe8/edit?usp=sharing"",""สงขลา!J295"")"),0)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IFERROR(__xludf.DUMMYFUNCTION("IMPORTRANGE(""https://docs.google.com/spreadsheets/d/1IYY_tgx_IHuhSq3AJ5eI5OnqOPBNLWSHKh2a30DoXe8/edit?usp=sharing"",""สงขลา!J296"")"),150)</f>
        <v>150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IFERROR(__xludf.DUMMYFUNCTION("IMPORTRANGE(""https://docs.google.com/spreadsheets/d/1IYY_tgx_IHuhSq3AJ5eI5OnqOPBNLWSHKh2a30DoXe8/edit?usp=sharing"",""สงขลา!M296"")"),156770)</f>
        <v>156770</v>
      </c>
      <c r="O401" s="379">
        <f ca="1">+IF(L401&gt;0,N401*100/L401,0)</f>
        <v>98.970959595959599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IFERROR(__xludf.DUMMYFUNCTION("IMPORTRANGE(""https://docs.google.com/spreadsheets/d/1IYY_tgx_IHuhSq3AJ5eI5OnqOPBNLWSHKh2a30DoXe8/edit?usp=sharing"",""สงขลา!J297"")"),50)</f>
        <v>50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IFERROR(__xludf.DUMMYFUNCTION("IMPORTRANGE(""https://docs.google.com/spreadsheets/d/1IYY_tgx_IHuhSq3AJ5eI5OnqOPBNLWSHKh2a30DoXe8/edit?usp=sharing"",""สงขลา!L298"")"),0)</f>
        <v>0</v>
      </c>
      <c r="M403" s="168"/>
      <c r="N403" s="175">
        <f ca="1">IFERROR(__xludf.DUMMYFUNCTION("IMPORTRANGE(""https://docs.google.com/spreadsheets/d/1IYY_tgx_IHuhSq3AJ5eI5OnqOPBNLWSHKh2a30DoXe8/edit?usp=sharing"",""สงขลา!M298"")"),0)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5">
        <f ca="1">IFERROR(__xludf.DUMMYFUNCTION("IMPORTRANGE(""https://docs.google.com/spreadsheets/d/1IYY_tgx_IHuhSq3AJ5eI5OnqOPBNLWSHKh2a30DoXe8/edit?usp=sharing"",""สงขลา!M299"")"),156770)</f>
        <v>156770</v>
      </c>
      <c r="O404" s="175">
        <f t="shared" ca="1" si="112"/>
        <v>98.970959595959599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IFERROR(__xludf.DUMMYFUNCTION("IMPORTRANGE(""https://docs.google.com/spreadsheets/d/1IYY_tgx_IHuhSq3AJ5eI5OnqOPBNLWSHKh2a30DoXe8/edit?usp=sharing"",""สงขลา!L300"")"),0)</f>
        <v>0</v>
      </c>
      <c r="M405" s="175"/>
      <c r="N405" s="175">
        <f ca="1">IFERROR(__xludf.DUMMYFUNCTION("IMPORTRANGE(""https://docs.google.com/spreadsheets/d/1IYY_tgx_IHuhSq3AJ5eI5OnqOPBNLWSHKh2a30DoXe8/edit?usp=sharing"",""สงขลา!M300"")"),0)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IFERROR(__xludf.DUMMYFUNCTION("IMPORTRANGE(""https://docs.google.com/spreadsheets/d/1IYY_tgx_IHuhSq3AJ5eI5OnqOPBNLWSHKh2a30DoXe8/edit?usp=sharing"",""สงขลา!L301"")"),158400)</f>
        <v>158400</v>
      </c>
      <c r="M406" s="175"/>
      <c r="N406" s="175">
        <f ca="1">IFERROR(__xludf.DUMMYFUNCTION("IMPORTRANGE(""https://docs.google.com/spreadsheets/d/1IYY_tgx_IHuhSq3AJ5eI5OnqOPBNLWSHKh2a30DoXe8/edit?usp=sharing"",""สงขลา!M301"")"),156770)</f>
        <v>156770</v>
      </c>
      <c r="O406" s="175">
        <f t="shared" ca="1" si="112"/>
        <v>98.970959595959599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IFERROR(__xludf.DUMMYFUNCTION("IMPORTRANGE(""https://docs.google.com/spreadsheets/d/1IYY_tgx_IHuhSq3AJ5eI5OnqOPBNLWSHKh2a30DoXe8/edit?usp=sharing"",""สงขลา!M302"")"),102600)</f>
        <v>102600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IFERROR(__xludf.DUMMYFUNCTION("IMPORTRANGE(""https://docs.google.com/spreadsheets/d/1IYY_tgx_IHuhSq3AJ5eI5OnqOPBNLWSHKh2a30DoXe8/edit?usp=sharing"",""สงขลา!M303"")"),28000)</f>
        <v>28000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IFERROR(__xludf.DUMMYFUNCTION("IMPORTRANGE(""https://docs.google.com/spreadsheets/d/1IYY_tgx_IHuhSq3AJ5eI5OnqOPBNLWSHKh2a30DoXe8/edit?usp=sharing"",""สงขลา!M305"")"),26170)</f>
        <v>26170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IFERROR(__xludf.DUMMYFUNCTION("IMPORTRANGE(""https://docs.google.com/spreadsheets/d/1IYY_tgx_IHuhSq3AJ5eI5OnqOPBNLWSHKh2a30DoXe8/edit?usp=sharing"",""สงขลา!J307"")"),0)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IFERROR(__xludf.DUMMYFUNCTION("IMPORTRANGE(""https://docs.google.com/spreadsheets/d/1IYY_tgx_IHuhSq3AJ5eI5OnqOPBNLWSHKh2a30DoXe8/edit?usp=sharing"",""สงขลา!J308"")"),1)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IFERROR(__xludf.DUMMYFUNCTION("IMPORTRANGE(""https://docs.google.com/spreadsheets/d/1IYY_tgx_IHuhSq3AJ5eI5OnqOPBNLWSHKh2a30DoXe8/edit?usp=sharing"",""สงขลา!J309"")"),1)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IFERROR(__xludf.DUMMYFUNCTION("IMPORTRANGE(""https://docs.google.com/spreadsheets/d/1IYY_tgx_IHuhSq3AJ5eI5OnqOPBNLWSHKh2a30DoXe8/edit?usp=sharing"",""สงขลา!J310"")"),1)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IFERROR(__xludf.DUMMYFUNCTION("IMPORTRANGE(""https://docs.google.com/spreadsheets/d/1IYY_tgx_IHuhSq3AJ5eI5OnqOPBNLWSHKh2a30DoXe8/edit?usp=sharing"",""สงขลา!I311"")"),50)</f>
        <v>50</v>
      </c>
      <c r="J416" s="207">
        <f ca="1">IFERROR(__xludf.DUMMYFUNCTION("IMPORTRANGE(""https://docs.google.com/spreadsheets/d/1IYY_tgx_IHuhSq3AJ5eI5OnqOPBNLWSHKh2a30DoXe8/edit?usp=sharing"",""สงขลา!J311"")"),50)</f>
        <v>50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IFERROR(__xludf.DUMMYFUNCTION("IMPORTRANGE(""https://docs.google.com/spreadsheets/d/1IYY_tgx_IHuhSq3AJ5eI5OnqOPBNLWSHKh2a30DoXe8/edit?usp=sharing"",""สงขลา!J316"")"),40)</f>
        <v>40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IFERROR(__xludf.DUMMYFUNCTION("IMPORTRANGE(""https://docs.google.com/spreadsheets/d/1IYY_tgx_IHuhSq3AJ5eI5OnqOPBNLWSHKh2a30DoXe8/edit?usp=sharing"",""สงขลา!J317"")"),120)</f>
        <v>120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IFERROR(__xludf.DUMMYFUNCTION("IMPORTRANGE(""https://docs.google.com/spreadsheets/d/1IYY_tgx_IHuhSq3AJ5eI5OnqOPBNLWSHKh2a30DoXe8/edit?usp=sharing"",""สงขลา!J319"")"),40)</f>
        <v>40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IFERROR(__xludf.DUMMYFUNCTION("IMPORTRANGE(""https://docs.google.com/spreadsheets/d/1IYY_tgx_IHuhSq3AJ5eI5OnqOPBNLWSHKh2a30DoXe8/edit?usp=sharing"",""สงขลา!J328"")"),0)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IFERROR(__xludf.DUMMYFUNCTION("IMPORTRANGE(""https://docs.google.com/spreadsheets/d/1IYY_tgx_IHuhSq3AJ5eI5OnqOPBNLWSHKh2a30DoXe8/edit?usp=sharing"",""สงขลา!J329"")"),0)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IFERROR(__xludf.DUMMYFUNCTION("IMPORTRANGE(""https://docs.google.com/spreadsheets/d/1IYY_tgx_IHuhSq3AJ5eI5OnqOPBNLWSHKh2a30DoXe8/edit?usp=sharing"",""สงขลา!M330"")"),68630)</f>
        <v>68630</v>
      </c>
      <c r="O435" s="418">
        <f t="shared" ref="O435:O439" ca="1" si="114">+IF(L435&gt;0,N435*100/L435,0)</f>
        <v>77.98863636363636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IFERROR(__xludf.DUMMYFUNCTION("IMPORTRANGE(""https://docs.google.com/spreadsheets/d/1IYY_tgx_IHuhSq3AJ5eI5OnqOPBNLWSHKh2a30DoXe8/edit?usp=sharing"",""สงขลา!L331"")"),0)</f>
        <v>0</v>
      </c>
      <c r="M436" s="168"/>
      <c r="N436" s="175">
        <f ca="1">IFERROR(__xludf.DUMMYFUNCTION("IMPORTRANGE(""https://docs.google.com/spreadsheets/d/1IYY_tgx_IHuhSq3AJ5eI5OnqOPBNLWSHKh2a30DoXe8/edit?usp=sharing"",""สงขลา!M331"")"),0)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IFERROR(__xludf.DUMMYFUNCTION("IMPORTRANGE(""https://docs.google.com/spreadsheets/d/1IYY_tgx_IHuhSq3AJ5eI5OnqOPBNLWSHKh2a30DoXe8/edit?usp=sharing"",""สงขลา!L332"")"),88000)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IFERROR(__xludf.DUMMYFUNCTION("IMPORTRANGE(""https://docs.google.com/spreadsheets/d/1IYY_tgx_IHuhSq3AJ5eI5OnqOPBNLWSHKh2a30DoXe8/edit?usp=sharing"",""สงขลา!M332"")"),68630)</f>
        <v>68630</v>
      </c>
      <c r="O437" s="175">
        <f t="shared" ca="1" si="114"/>
        <v>77.98863636363636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IFERROR(__xludf.DUMMYFUNCTION("IMPORTRANGE(""https://docs.google.com/spreadsheets/d/1IYY_tgx_IHuhSq3AJ5eI5OnqOPBNLWSHKh2a30DoXe8/edit?usp=sharing"",""สงขลา!L333"")"),0)</f>
        <v>0</v>
      </c>
      <c r="M438" s="175"/>
      <c r="N438" s="175">
        <f ca="1">IFERROR(__xludf.DUMMYFUNCTION("IMPORTRANGE(""https://docs.google.com/spreadsheets/d/1IYY_tgx_IHuhSq3AJ5eI5OnqOPBNLWSHKh2a30DoXe8/edit?usp=sharing"",""สงขลา!M333"")"),0)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IFERROR(__xludf.DUMMYFUNCTION("IMPORTRANGE(""https://docs.google.com/spreadsheets/d/1IYY_tgx_IHuhSq3AJ5eI5OnqOPBNLWSHKh2a30DoXe8/edit?usp=sharing"",""สงขลา!L334"")"),88000)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IFERROR(__xludf.DUMMYFUNCTION("IMPORTRANGE(""https://docs.google.com/spreadsheets/d/1IYY_tgx_IHuhSq3AJ5eI5OnqOPBNLWSHKh2a30DoXe8/edit?usp=sharing"",""สงขลา!M334"")"),68630)</f>
        <v>68630</v>
      </c>
      <c r="O439" s="175">
        <f t="shared" ca="1" si="114"/>
        <v>77.98863636363636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IFERROR(__xludf.DUMMYFUNCTION("IMPORTRANGE(""https://docs.google.com/spreadsheets/d/1IYY_tgx_IHuhSq3AJ5eI5OnqOPBNLWSHKh2a30DoXe8/edit?usp=sharing"",""สงขลา!M335"")"),38360)</f>
        <v>38360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IFERROR(__xludf.DUMMYFUNCTION("IMPORTRANGE(""https://docs.google.com/spreadsheets/d/1IYY_tgx_IHuhSq3AJ5eI5OnqOPBNLWSHKh2a30DoXe8/edit?usp=sharing"",""สงขลา!M338"")"),30270)</f>
        <v>30270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IFERROR(__xludf.DUMMYFUNCTION("IMPORTRANGE(""https://docs.google.com/spreadsheets/d/1IYY_tgx_IHuhSq3AJ5eI5OnqOPBNLWSHKh2a30DoXe8/edit?usp=sharing"",""สงขลา!J340"")"),0)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IFERROR(__xludf.DUMMYFUNCTION("IMPORTRANGE(""https://docs.google.com/spreadsheets/d/1IYY_tgx_IHuhSq3AJ5eI5OnqOPBNLWSHKh2a30DoXe8/edit?usp=sharing"",""สงขลา!J341"")"),1)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IFERROR(__xludf.DUMMYFUNCTION("IMPORTRANGE(""https://docs.google.com/spreadsheets/d/1IYY_tgx_IHuhSq3AJ5eI5OnqOPBNLWSHKh2a30DoXe8/edit?usp=sharing"",""สงขลา!J342"")"),1)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IFERROR(__xludf.DUMMYFUNCTION("IMPORTRANGE(""https://docs.google.com/spreadsheets/d/1IYY_tgx_IHuhSq3AJ5eI5OnqOPBNLWSHKh2a30DoXe8/edit?usp=sharing"",""สงขลา!J343"")"),1)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7">
        <f ca="1">IFERROR(__xludf.DUMMYFUNCTION("IMPORTRANGE(""https://docs.google.com/spreadsheets/d/1IYY_tgx_IHuhSq3AJ5eI5OnqOPBNLWSHKh2a30DoXe8/edit?usp=sharing"",""สงขลา!J344"")"),15)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5">
        <f ca="1">IFERROR(__xludf.DUMMYFUNCTION("IMPORTRANGE(""https://docs.google.com/spreadsheets/d/1IYY_tgx_IHuhSq3AJ5eI5OnqOPBNLWSHKh2a30DoXe8/edit?usp=sharing"",""สงขลา!J345"")"),15)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4">
        <f ca="1">IFERROR(__xludf.DUMMYFUNCTION("IMPORTRANGE(""https://docs.google.com/spreadsheets/d/1IYY_tgx_IHuhSq3AJ5eI5OnqOPBNLWSHKh2a30DoXe8/edit?usp=sharing"",""สงขลา!J346"")"),0)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IFERROR(__xludf.DUMMYFUNCTION("IMPORTRANGE(""https://docs.google.com/spreadsheets/d/1IYY_tgx_IHuhSq3AJ5eI5OnqOPBNLWSHKh2a30DoXe8/edit?usp=sharing"",""สงขลา!I347"")"),0)</f>
        <v>0</v>
      </c>
      <c r="J452" s="194">
        <f ca="1">IFERROR(__xludf.DUMMYFUNCTION("IMPORTRANGE(""https://docs.google.com/spreadsheets/d/1IYY_tgx_IHuhSq3AJ5eI5OnqOPBNLWSHKh2a30DoXe8/edit?usp=sharing"",""สงขลา!J347"")"),0)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IFERROR(__xludf.DUMMYFUNCTION("IMPORTRANGE(""https://docs.google.com/spreadsheets/d/1IYY_tgx_IHuhSq3AJ5eI5OnqOPBNLWSHKh2a30DoXe8/edit?usp=sharing"",""สงขลา!J348"")"),0)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IFERROR(__xludf.DUMMYFUNCTION("IMPORTRANGE(""https://docs.google.com/spreadsheets/d/1IYY_tgx_IHuhSq3AJ5eI5OnqOPBNLWSHKh2a30DoXe8/edit?usp=sharing"",""สงขลา!J349"")"),0)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IFERROR(__xludf.DUMMYFUNCTION("IMPORTRANGE(""https://docs.google.com/spreadsheets/d/1IYY_tgx_IHuhSq3AJ5eI5OnqOPBNLWSHKh2a30DoXe8/edit?usp=sharing"",""สงขลา!J350"")"),27425)</f>
        <v>27425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IFERROR(__xludf.DUMMYFUNCTION("IMPORTRANGE(""https://docs.google.com/spreadsheets/d/1IYY_tgx_IHuhSq3AJ5eI5OnqOPBNLWSHKh2a30DoXe8/edit?usp=sharing"",""สงขลา!L350"")"),189614)</f>
        <v>189614</v>
      </c>
      <c r="M455" s="379"/>
      <c r="N455" s="379">
        <f ca="1">IFERROR(__xludf.DUMMYFUNCTION("IMPORTRANGE(""https://docs.google.com/spreadsheets/d/1IYY_tgx_IHuhSq3AJ5eI5OnqOPBNLWSHKh2a30DoXe8/edit?usp=sharing"",""สงขลา!M350"")"),132508.2)</f>
        <v>132508.20000000001</v>
      </c>
      <c r="O455" s="379">
        <f t="shared" ref="O455:O459" ca="1" si="116">+IF(L455&gt;0,N455*100/L455,0)</f>
        <v>69.883130992437273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IFERROR(__xludf.DUMMYFUNCTION("IMPORTRANGE(""https://docs.google.com/spreadsheets/d/1IYY_tgx_IHuhSq3AJ5eI5OnqOPBNLWSHKh2a30DoXe8/edit?usp=sharing"",""สงขลา!L351"")"),0)</f>
        <v>0</v>
      </c>
      <c r="M456" s="168"/>
      <c r="N456" s="175">
        <f ca="1">IFERROR(__xludf.DUMMYFUNCTION("IMPORTRANGE(""https://docs.google.com/spreadsheets/d/1IYY_tgx_IHuhSq3AJ5eI5OnqOPBNLWSHKh2a30DoXe8/edit?usp=sharing"",""สงขลา!M351"")"),0)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5">
        <f ca="1">IFERROR(__xludf.DUMMYFUNCTION("IMPORTRANGE(""https://docs.google.com/spreadsheets/d/1IYY_tgx_IHuhSq3AJ5eI5OnqOPBNLWSHKh2a30DoXe8/edit?usp=sharing"",""สงขลา!M352"")"),132508.2)</f>
        <v>132508.20000000001</v>
      </c>
      <c r="O457" s="175">
        <f t="shared" ca="1" si="116"/>
        <v>69.883130992437273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IFERROR(__xludf.DUMMYFUNCTION("IMPORTRANGE(""https://docs.google.com/spreadsheets/d/1IYY_tgx_IHuhSq3AJ5eI5OnqOPBNLWSHKh2a30DoXe8/edit?usp=sharing"",""สงขลา!L353"")"),0)</f>
        <v>0</v>
      </c>
      <c r="M458" s="175"/>
      <c r="N458" s="175">
        <f ca="1">IFERROR(__xludf.DUMMYFUNCTION("IMPORTRANGE(""https://docs.google.com/spreadsheets/d/1IYY_tgx_IHuhSq3AJ5eI5OnqOPBNLWSHKh2a30DoXe8/edit?usp=sharing"",""สงขลา!M353"")"),0)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IFERROR(__xludf.DUMMYFUNCTION("IMPORTRANGE(""https://docs.google.com/spreadsheets/d/1IYY_tgx_IHuhSq3AJ5eI5OnqOPBNLWSHKh2a30DoXe8/edit?usp=sharing"",""สงขลา!L354"")"),189614)</f>
        <v>189614</v>
      </c>
      <c r="M459" s="175"/>
      <c r="N459" s="175">
        <f ca="1">IFERROR(__xludf.DUMMYFUNCTION("IMPORTRANGE(""https://docs.google.com/spreadsheets/d/1IYY_tgx_IHuhSq3AJ5eI5OnqOPBNLWSHKh2a30DoXe8/edit?usp=sharing"",""สงขลา!M354"")"),132508.2)</f>
        <v>132508.20000000001</v>
      </c>
      <c r="O459" s="175">
        <f t="shared" ca="1" si="116"/>
        <v>69.883130992437273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IFERROR(__xludf.DUMMYFUNCTION("IMPORTRANGE(""https://docs.google.com/spreadsheets/d/1IYY_tgx_IHuhSq3AJ5eI5OnqOPBNLWSHKh2a30DoXe8/edit?usp=sharing"",""สงขลา!M355"")"),0)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IFERROR(__xludf.DUMMYFUNCTION("IMPORTRANGE(""https://docs.google.com/spreadsheets/d/1IYY_tgx_IHuhSq3AJ5eI5OnqOPBNLWSHKh2a30DoXe8/edit?usp=sharing"",""สงขลา!M356"")"),0)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IFERROR(__xludf.DUMMYFUNCTION("IMPORTRANGE(""https://docs.google.com/spreadsheets/d/1IYY_tgx_IHuhSq3AJ5eI5OnqOPBNLWSHKh2a30DoXe8/edit?usp=sharing"",""สงขลา!M358"")"),132508.2)</f>
        <v>132508.20000000001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IFERROR(__xludf.DUMMYFUNCTION("IMPORTRANGE(""https://docs.google.com/spreadsheets/d/1IYY_tgx_IHuhSq3AJ5eI5OnqOPBNLWSHKh2a30DoXe8/edit?usp=sharing"",""สงขลา!I359"")"),27425)</f>
        <v>27425</v>
      </c>
      <c r="J464" s="273">
        <f ca="1">IFERROR(__xludf.DUMMYFUNCTION("IMPORTRANGE(""https://docs.google.com/spreadsheets/d/1IYY_tgx_IHuhSq3AJ5eI5OnqOPBNLWSHKh2a30DoXe8/edit?usp=sharing"",""สงขลา!J359"")"),27425)</f>
        <v>27425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IFERROR(__xludf.DUMMYFUNCTION("IMPORTRANGE(""https://docs.google.com/spreadsheets/d/1IYY_tgx_IHuhSq3AJ5eI5OnqOPBNLWSHKh2a30DoXe8/edit?usp=sharing"",""สงขลา!J360"")"),28114)</f>
        <v>28114</v>
      </c>
      <c r="K465" s="208">
        <f t="shared" ca="1" si="117"/>
        <v>102.51230628988149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IFERROR(__xludf.DUMMYFUNCTION("IMPORTRANGE(""https://docs.google.com/spreadsheets/d/1IYY_tgx_IHuhSq3AJ5eI5OnqOPBNLWSHKh2a30DoXe8/edit?usp=sharing"",""สงขลา!I362"")"),0)</f>
        <v>0</v>
      </c>
      <c r="J467" s="195">
        <f ca="1">IFERROR(__xludf.DUMMYFUNCTION("IMPORTRANGE(""https://docs.google.com/spreadsheets/d/1IYY_tgx_IHuhSq3AJ5eI5OnqOPBNLWSHKh2a30DoXe8/edit?usp=sharing"",""สงขลา!J362"")"),26216)</f>
        <v>26216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IFERROR(__xludf.DUMMYFUNCTION("IMPORTRANGE(""https://docs.google.com/spreadsheets/d/1IYY_tgx_IHuhSq3AJ5eI5OnqOPBNLWSHKh2a30DoXe8/edit?usp=sharing"",""สงขลา!I363"")"),0)</f>
        <v>0</v>
      </c>
      <c r="J468" s="195">
        <f ca="1">IFERROR(__xludf.DUMMYFUNCTION("IMPORTRANGE(""https://docs.google.com/spreadsheets/d/1IYY_tgx_IHuhSq3AJ5eI5OnqOPBNLWSHKh2a30DoXe8/edit?usp=sharing"",""สงขลา!J363"")"),3049)</f>
        <v>3049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IFERROR(__xludf.DUMMYFUNCTION("IMPORTRANGE(""https://docs.google.com/spreadsheets/d/1IYY_tgx_IHuhSq3AJ5eI5OnqOPBNLWSHKh2a30DoXe8/edit?usp=sharing"",""สงขลา!I364"")"),0)</f>
        <v>0</v>
      </c>
      <c r="J469" s="195">
        <f ca="1">IFERROR(__xludf.DUMMYFUNCTION("IMPORTRANGE(""https://docs.google.com/spreadsheets/d/1IYY_tgx_IHuhSq3AJ5eI5OnqOPBNLWSHKh2a30DoXe8/edit?usp=sharing"",""สงขลา!J364"")"),1181)</f>
        <v>1181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IFERROR(__xludf.DUMMYFUNCTION("IMPORTRANGE(""https://docs.google.com/spreadsheets/d/1IYY_tgx_IHuhSq3AJ5eI5OnqOPBNLWSHKh2a30DoXe8/edit?usp=sharing"",""สงขลา!I365"")"),0)</f>
        <v>0</v>
      </c>
      <c r="J470" s="195">
        <f ca="1">IFERROR(__xludf.DUMMYFUNCTION("IMPORTRANGE(""https://docs.google.com/spreadsheets/d/1IYY_tgx_IHuhSq3AJ5eI5OnqOPBNLWSHKh2a30DoXe8/edit?usp=sharing"",""สงขลา!J365"")"),132)</f>
        <v>132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IFERROR(__xludf.DUMMYFUNCTION("IMPORTRANGE(""https://docs.google.com/spreadsheets/d/1IYY_tgx_IHuhSq3AJ5eI5OnqOPBNLWSHKh2a30DoXe8/edit?usp=sharing"",""สงขลา!I366"")"),0)</f>
        <v>0</v>
      </c>
      <c r="J471" s="195">
        <f ca="1">IFERROR(__xludf.DUMMYFUNCTION("IMPORTRANGE(""https://docs.google.com/spreadsheets/d/1IYY_tgx_IHuhSq3AJ5eI5OnqOPBNLWSHKh2a30DoXe8/edit?usp=sharing"",""สงขลา!J366"")"),717)</f>
        <v>717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IFERROR(__xludf.DUMMYFUNCTION("IMPORTRANGE(""https://docs.google.com/spreadsheets/d/1IYY_tgx_IHuhSq3AJ5eI5OnqOPBNLWSHKh2a30DoXe8/edit?usp=sharing"",""สงขลา!I367"")"),0)</f>
        <v>0</v>
      </c>
      <c r="J472" s="195">
        <f ca="1">IFERROR(__xludf.DUMMYFUNCTION("IMPORTRANGE(""https://docs.google.com/spreadsheets/d/1IYY_tgx_IHuhSq3AJ5eI5OnqOPBNLWSHKh2a30DoXe8/edit?usp=sharing"",""สงขลา!J367"")"),70)</f>
        <v>70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IFERROR(__xludf.DUMMYFUNCTION("IMPORTRANGE(""https://docs.google.com/spreadsheets/d/1IYY_tgx_IHuhSq3AJ5eI5OnqOPBNLWSHKh2a30DoXe8/edit?usp=sharing"",""สงขลา!J368"")"),27426)</f>
        <v>27426</v>
      </c>
      <c r="K473" s="208">
        <f t="shared" ca="1" si="117"/>
        <v>100.00364630811303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IFERROR(__xludf.DUMMYFUNCTION("IMPORTRANGE(""https://docs.google.com/spreadsheets/d/1IYY_tgx_IHuhSq3AJ5eI5OnqOPBNLWSHKh2a30DoXe8/edit?usp=sharing"",""สงขลา!J369"")"),3251)</f>
        <v>3251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IFERROR(__xludf.DUMMYFUNCTION("IMPORTRANGE(""https://docs.google.com/spreadsheets/d/1IYY_tgx_IHuhSq3AJ5eI5OnqOPBNLWSHKh2a30DoXe8/edit?usp=sharing"",""สงขลา!I370"")"),0)</f>
        <v>0</v>
      </c>
      <c r="J475" s="195">
        <f ca="1">IFERROR(__xludf.DUMMYFUNCTION("IMPORTRANGE(""https://docs.google.com/spreadsheets/d/1IYY_tgx_IHuhSq3AJ5eI5OnqOPBNLWSHKh2a30DoXe8/edit?usp=sharing"",""สงขลา!J370"")"),25991)</f>
        <v>25991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IFERROR(__xludf.DUMMYFUNCTION("IMPORTRANGE(""https://docs.google.com/spreadsheets/d/1IYY_tgx_IHuhSq3AJ5eI5OnqOPBNLWSHKh2a30DoXe8/edit?usp=sharing"",""สงขลา!I371"")"),0)</f>
        <v>0</v>
      </c>
      <c r="J476" s="195">
        <f ca="1">IFERROR(__xludf.DUMMYFUNCTION("IMPORTRANGE(""https://docs.google.com/spreadsheets/d/1IYY_tgx_IHuhSq3AJ5eI5OnqOPBNLWSHKh2a30DoXe8/edit?usp=sharing"",""สงขลา!J371"")"),3111)</f>
        <v>3111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IFERROR(__xludf.DUMMYFUNCTION("IMPORTRANGE(""https://docs.google.com/spreadsheets/d/1IYY_tgx_IHuhSq3AJ5eI5OnqOPBNLWSHKh2a30DoXe8/edit?usp=sharing"",""สงขลา!I372"")"),0)</f>
        <v>0</v>
      </c>
      <c r="J477" s="195">
        <f ca="1">IFERROR(__xludf.DUMMYFUNCTION("IMPORTRANGE(""https://docs.google.com/spreadsheets/d/1IYY_tgx_IHuhSq3AJ5eI5OnqOPBNLWSHKh2a30DoXe8/edit?usp=sharing"",""สงขลา!J372"")"),698)</f>
        <v>698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IFERROR(__xludf.DUMMYFUNCTION("IMPORTRANGE(""https://docs.google.com/spreadsheets/d/1IYY_tgx_IHuhSq3AJ5eI5OnqOPBNLWSHKh2a30DoXe8/edit?usp=sharing"",""สงขลา!I373"")"),0)</f>
        <v>0</v>
      </c>
      <c r="J478" s="195">
        <f ca="1">IFERROR(__xludf.DUMMYFUNCTION("IMPORTRANGE(""https://docs.google.com/spreadsheets/d/1IYY_tgx_IHuhSq3AJ5eI5OnqOPBNLWSHKh2a30DoXe8/edit?usp=sharing"",""สงขลา!J373"")"),67)</f>
        <v>67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IFERROR(__xludf.DUMMYFUNCTION("IMPORTRANGE(""https://docs.google.com/spreadsheets/d/1IYY_tgx_IHuhSq3AJ5eI5OnqOPBNLWSHKh2a30DoXe8/edit?usp=sharing"",""สงขลา!I374"")"),0)</f>
        <v>0</v>
      </c>
      <c r="J479" s="195">
        <f ca="1">IFERROR(__xludf.DUMMYFUNCTION("IMPORTRANGE(""https://docs.google.com/spreadsheets/d/1IYY_tgx_IHuhSq3AJ5eI5OnqOPBNLWSHKh2a30DoXe8/edit?usp=sharing"",""สงขลา!J374"")"),737)</f>
        <v>737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IFERROR(__xludf.DUMMYFUNCTION("IMPORTRANGE(""https://docs.google.com/spreadsheets/d/1IYY_tgx_IHuhSq3AJ5eI5OnqOPBNLWSHKh2a30DoXe8/edit?usp=sharing"",""สงขลา!I375"")"),0)</f>
        <v>0</v>
      </c>
      <c r="J480" s="195">
        <f ca="1">IFERROR(__xludf.DUMMYFUNCTION("IMPORTRANGE(""https://docs.google.com/spreadsheets/d/1IYY_tgx_IHuhSq3AJ5eI5OnqOPBNLWSHKh2a30DoXe8/edit?usp=sharing"",""สงขลา!J375"")"),73)</f>
        <v>73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IFERROR(__xludf.DUMMYFUNCTION("IMPORTRANGE(""https://docs.google.com/spreadsheets/d/1IYY_tgx_IHuhSq3AJ5eI5OnqOPBNLWSHKh2a30DoXe8/edit?usp=sharing"",""สงขลา!J376"")"),27425)</f>
        <v>27425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IFERROR(__xludf.DUMMYFUNCTION("IMPORTRANGE(""https://docs.google.com/spreadsheets/d/1IYY_tgx_IHuhSq3AJ5eI5OnqOPBNLWSHKh2a30DoXe8/edit?usp=sharing"",""สงขลา!J377"")"),3251)</f>
        <v>3251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IFERROR(__xludf.DUMMYFUNCTION("IMPORTRANGE(""https://docs.google.com/spreadsheets/d/1IYY_tgx_IHuhSq3AJ5eI5OnqOPBNLWSHKh2a30DoXe8/edit?usp=sharing"",""สงขลา!I378"")"),0)</f>
        <v>0</v>
      </c>
      <c r="J483" s="195">
        <f ca="1">IFERROR(__xludf.DUMMYFUNCTION("IMPORTRANGE(""https://docs.google.com/spreadsheets/d/1IYY_tgx_IHuhSq3AJ5eI5OnqOPBNLWSHKh2a30DoXe8/edit?usp=sharing"",""สงขลา!J378"")"),26261)</f>
        <v>26261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IFERROR(__xludf.DUMMYFUNCTION("IMPORTRANGE(""https://docs.google.com/spreadsheets/d/1IYY_tgx_IHuhSq3AJ5eI5OnqOPBNLWSHKh2a30DoXe8/edit?usp=sharing"",""สงขลา!I379"")"),0)</f>
        <v>0</v>
      </c>
      <c r="J484" s="195">
        <f ca="1">IFERROR(__xludf.DUMMYFUNCTION("IMPORTRANGE(""https://docs.google.com/spreadsheets/d/1IYY_tgx_IHuhSq3AJ5eI5OnqOPBNLWSHKh2a30DoXe8/edit?usp=sharing"",""สงขลา!J379"")"),3129)</f>
        <v>3129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IFERROR(__xludf.DUMMYFUNCTION("IMPORTRANGE(""https://docs.google.com/spreadsheets/d/1IYY_tgx_IHuhSq3AJ5eI5OnqOPBNLWSHKh2a30DoXe8/edit?usp=sharing"",""สงขลา!I380"")"),0)</f>
        <v>0</v>
      </c>
      <c r="J485" s="195">
        <f ca="1">IFERROR(__xludf.DUMMYFUNCTION("IMPORTRANGE(""https://docs.google.com/spreadsheets/d/1IYY_tgx_IHuhSq3AJ5eI5OnqOPBNLWSHKh2a30DoXe8/edit?usp=sharing"",""สงขลา!J380"")"),0)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IFERROR(__xludf.DUMMYFUNCTION("IMPORTRANGE(""https://docs.google.com/spreadsheets/d/1IYY_tgx_IHuhSq3AJ5eI5OnqOPBNLWSHKh2a30DoXe8/edit?usp=sharing"",""สงขลา!I381"")"),0)</f>
        <v>0</v>
      </c>
      <c r="J486" s="195">
        <f ca="1">IFERROR(__xludf.DUMMYFUNCTION("IMPORTRANGE(""https://docs.google.com/spreadsheets/d/1IYY_tgx_IHuhSq3AJ5eI5OnqOPBNLWSHKh2a30DoXe8/edit?usp=sharing"",""สงขลา!J381"")"),0)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IFERROR(__xludf.DUMMYFUNCTION("IMPORTRANGE(""https://docs.google.com/spreadsheets/d/1IYY_tgx_IHuhSq3AJ5eI5OnqOPBNLWSHKh2a30DoXe8/edit?usp=sharing"",""สงขลา!J382"")"),750)</f>
        <v>750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IFERROR(__xludf.DUMMYFUNCTION("IMPORTRANGE(""https://docs.google.com/spreadsheets/d/1IYY_tgx_IHuhSq3AJ5eI5OnqOPBNLWSHKh2a30DoXe8/edit?usp=sharing"",""สงขลา!J383"")"),75)</f>
        <v>75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IFERROR(__xludf.DUMMYFUNCTION("IMPORTRANGE(""https://docs.google.com/spreadsheets/d/1IYY_tgx_IHuhSq3AJ5eI5OnqOPBNLWSHKh2a30DoXe8/edit?usp=sharing"",""สงขลา!I384"")"),0)</f>
        <v>0</v>
      </c>
      <c r="J489" s="195">
        <f ca="1">IFERROR(__xludf.DUMMYFUNCTION("IMPORTRANGE(""https://docs.google.com/spreadsheets/d/1IYY_tgx_IHuhSq3AJ5eI5OnqOPBNLWSHKh2a30DoXe8/edit?usp=sharing"",""สงขลา!J384"")"),750)</f>
        <v>750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IFERROR(__xludf.DUMMYFUNCTION("IMPORTRANGE(""https://docs.google.com/spreadsheets/d/1IYY_tgx_IHuhSq3AJ5eI5OnqOPBNLWSHKh2a30DoXe8/edit?usp=sharing"",""สงขลา!I385"")"),0)</f>
        <v>0</v>
      </c>
      <c r="J490" s="195">
        <f ca="1">IFERROR(__xludf.DUMMYFUNCTION("IMPORTRANGE(""https://docs.google.com/spreadsheets/d/1IYY_tgx_IHuhSq3AJ5eI5OnqOPBNLWSHKh2a30DoXe8/edit?usp=sharing"",""สงขลา!J385"")"),75)</f>
        <v>75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IFERROR(__xludf.DUMMYFUNCTION("IMPORTRANGE(""https://docs.google.com/spreadsheets/d/1IYY_tgx_IHuhSq3AJ5eI5OnqOPBNLWSHKh2a30DoXe8/edit?usp=sharing"",""สงขลา!I386"")"),0)</f>
        <v>0</v>
      </c>
      <c r="J491" s="195">
        <f ca="1">IFERROR(__xludf.DUMMYFUNCTION("IMPORTRANGE(""https://docs.google.com/spreadsheets/d/1IYY_tgx_IHuhSq3AJ5eI5OnqOPBNLWSHKh2a30DoXe8/edit?usp=sharing"",""สงขลา!J386"")"),0)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IFERROR(__xludf.DUMMYFUNCTION("IMPORTRANGE(""https://docs.google.com/spreadsheets/d/1IYY_tgx_IHuhSq3AJ5eI5OnqOPBNLWSHKh2a30DoXe8/edit?usp=sharing"",""สงขลา!I387"")"),0)</f>
        <v>0</v>
      </c>
      <c r="J492" s="195">
        <f ca="1">IFERROR(__xludf.DUMMYFUNCTION("IMPORTRANGE(""https://docs.google.com/spreadsheets/d/1IYY_tgx_IHuhSq3AJ5eI5OnqOPBNLWSHKh2a30DoXe8/edit?usp=sharing"",""สงขลา!J387"")"),0)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IFERROR(__xludf.DUMMYFUNCTION("IMPORTRANGE(""https://docs.google.com/spreadsheets/d/1IYY_tgx_IHuhSq3AJ5eI5OnqOPBNLWSHKh2a30DoXe8/edit?usp=sharing"",""สงขลา!I388"")"),0)</f>
        <v>0</v>
      </c>
      <c r="J493" s="195">
        <f ca="1">IFERROR(__xludf.DUMMYFUNCTION("IMPORTRANGE(""https://docs.google.com/spreadsheets/d/1IYY_tgx_IHuhSq3AJ5eI5OnqOPBNLWSHKh2a30DoXe8/edit?usp=sharing"",""สงขลา!J388"")"),414)</f>
        <v>414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IFERROR(__xludf.DUMMYFUNCTION("IMPORTRANGE(""https://docs.google.com/spreadsheets/d/1IYY_tgx_IHuhSq3AJ5eI5OnqOPBNLWSHKh2a30DoXe8/edit?usp=sharing"",""สงขลา!J389"")"),47)</f>
        <v>47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IFERROR(__xludf.DUMMYFUNCTION("IMPORTRANGE(""https://docs.google.com/spreadsheets/d/1IYY_tgx_IHuhSq3AJ5eI5OnqOPBNLWSHKh2a30DoXe8/edit?usp=sharing"",""สงขลา!J392"")"),293)</f>
        <v>293</v>
      </c>
      <c r="K497" s="450">
        <f t="shared" ca="1" si="117"/>
        <v>100.34246575342466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IFERROR(__xludf.DUMMYFUNCTION("IMPORTRANGE(""https://docs.google.com/spreadsheets/d/1IYY_tgx_IHuhSq3AJ5eI5OnqOPBNLWSHKh2a30DoXe8/edit?usp=sharing"",""สงขลา!J393"")"),293)</f>
        <v>293</v>
      </c>
      <c r="K498" s="208">
        <f t="shared" ca="1" si="117"/>
        <v>100.34246575342466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IFERROR(__xludf.DUMMYFUNCTION("IMPORTRANGE(""https://docs.google.com/spreadsheets/d/1IYY_tgx_IHuhSq3AJ5eI5OnqOPBNLWSHKh2a30DoXe8/edit?usp=sharing"",""สงขลา!J394"")"),26)</f>
        <v>26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IFERROR(__xludf.DUMMYFUNCTION("IMPORTRANGE(""https://docs.google.com/spreadsheets/d/1IYY_tgx_IHuhSq3AJ5eI5OnqOPBNLWSHKh2a30DoXe8/edit?usp=sharing"",""สงขลา!I395"")"),0)</f>
        <v>0</v>
      </c>
      <c r="J500" s="166">
        <f ca="1">IFERROR(__xludf.DUMMYFUNCTION("IMPORTRANGE(""https://docs.google.com/spreadsheets/d/1IYY_tgx_IHuhSq3AJ5eI5OnqOPBNLWSHKh2a30DoXe8/edit?usp=sharing"",""สงขลา!J395"")"),246)</f>
        <v>246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IFERROR(__xludf.DUMMYFUNCTION("IMPORTRANGE(""https://docs.google.com/spreadsheets/d/1IYY_tgx_IHuhSq3AJ5eI5OnqOPBNLWSHKh2a30DoXe8/edit?usp=sharing"",""สงขลา!I396"")"),0)</f>
        <v>0</v>
      </c>
      <c r="J501" s="166">
        <f ca="1">IFERROR(__xludf.DUMMYFUNCTION("IMPORTRANGE(""https://docs.google.com/spreadsheets/d/1IYY_tgx_IHuhSq3AJ5eI5OnqOPBNLWSHKh2a30DoXe8/edit?usp=sharing"",""สงขลา!J396"")"),20)</f>
        <v>20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IFERROR(__xludf.DUMMYFUNCTION("IMPORTRANGE(""https://docs.google.com/spreadsheets/d/1IYY_tgx_IHuhSq3AJ5eI5OnqOPBNLWSHKh2a30DoXe8/edit?usp=sharing"",""สงขลา!I397"")"),0)</f>
        <v>0</v>
      </c>
      <c r="J502" s="195">
        <f ca="1">IFERROR(__xludf.DUMMYFUNCTION("IMPORTRANGE(""https://docs.google.com/spreadsheets/d/1IYY_tgx_IHuhSq3AJ5eI5OnqOPBNLWSHKh2a30DoXe8/edit?usp=sharing"",""สงขลา!J397"")"),197)</f>
        <v>197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IFERROR(__xludf.DUMMYFUNCTION("IMPORTRANGE(""https://docs.google.com/spreadsheets/d/1IYY_tgx_IHuhSq3AJ5eI5OnqOPBNLWSHKh2a30DoXe8/edit?usp=sharing"",""สงขลา!I398"")"),0)</f>
        <v>0</v>
      </c>
      <c r="J503" s="204">
        <f ca="1">IFERROR(__xludf.DUMMYFUNCTION("IMPORTRANGE(""https://docs.google.com/spreadsheets/d/1IYY_tgx_IHuhSq3AJ5eI5OnqOPBNLWSHKh2a30DoXe8/edit?usp=sharing"",""สงขลา!J398"")"),14)</f>
        <v>14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IFERROR(__xludf.DUMMYFUNCTION("IMPORTRANGE(""https://docs.google.com/spreadsheets/d/1IYY_tgx_IHuhSq3AJ5eI5OnqOPBNLWSHKh2a30DoXe8/edit?usp=sharing"",""สงขลา!I399"")"),0)</f>
        <v>0</v>
      </c>
      <c r="J504" s="195">
        <f ca="1">IFERROR(__xludf.DUMMYFUNCTION("IMPORTRANGE(""https://docs.google.com/spreadsheets/d/1IYY_tgx_IHuhSq3AJ5eI5OnqOPBNLWSHKh2a30DoXe8/edit?usp=sharing"",""สงขลา!J399"")"),0)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IFERROR(__xludf.DUMMYFUNCTION("IMPORTRANGE(""https://docs.google.com/spreadsheets/d/1IYY_tgx_IHuhSq3AJ5eI5OnqOPBNLWSHKh2a30DoXe8/edit?usp=sharing"",""สงขลา!I400"")"),0)</f>
        <v>0</v>
      </c>
      <c r="J505" s="204">
        <f ca="1">IFERROR(__xludf.DUMMYFUNCTION("IMPORTRANGE(""https://docs.google.com/spreadsheets/d/1IYY_tgx_IHuhSq3AJ5eI5OnqOPBNLWSHKh2a30DoXe8/edit?usp=sharing"",""สงขลา!J400"")"),0)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IFERROR(__xludf.DUMMYFUNCTION("IMPORTRANGE(""https://docs.google.com/spreadsheets/d/1IYY_tgx_IHuhSq3AJ5eI5OnqOPBNLWSHKh2a30DoXe8/edit?usp=sharing"",""สงขลา!I401"")"),0)</f>
        <v>0</v>
      </c>
      <c r="J506" s="195">
        <f ca="1">IFERROR(__xludf.DUMMYFUNCTION("IMPORTRANGE(""https://docs.google.com/spreadsheets/d/1IYY_tgx_IHuhSq3AJ5eI5OnqOPBNLWSHKh2a30DoXe8/edit?usp=sharing"",""สงขลา!J401"")"),49)</f>
        <v>49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IFERROR(__xludf.DUMMYFUNCTION("IMPORTRANGE(""https://docs.google.com/spreadsheets/d/1IYY_tgx_IHuhSq3AJ5eI5OnqOPBNLWSHKh2a30DoXe8/edit?usp=sharing"",""สงขลา!I402"")"),0)</f>
        <v>0</v>
      </c>
      <c r="J507" s="204">
        <f ca="1">IFERROR(__xludf.DUMMYFUNCTION("IMPORTRANGE(""https://docs.google.com/spreadsheets/d/1IYY_tgx_IHuhSq3AJ5eI5OnqOPBNLWSHKh2a30DoXe8/edit?usp=sharing"",""สงขลา!J402"")"),6)</f>
        <v>6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IFERROR(__xludf.DUMMYFUNCTION("IMPORTRANGE(""https://docs.google.com/spreadsheets/d/1IYY_tgx_IHuhSq3AJ5eI5OnqOPBNLWSHKh2a30DoXe8/edit?usp=sharing"",""สงขลา!I403"")"),0)</f>
        <v>0</v>
      </c>
      <c r="J508" s="166">
        <f ca="1">IFERROR(__xludf.DUMMYFUNCTION("IMPORTRANGE(""https://docs.google.com/spreadsheets/d/1IYY_tgx_IHuhSq3AJ5eI5OnqOPBNLWSHKh2a30DoXe8/edit?usp=sharing"",""สงขลา!J403"")"),47)</f>
        <v>47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IFERROR(__xludf.DUMMYFUNCTION("IMPORTRANGE(""https://docs.google.com/spreadsheets/d/1IYY_tgx_IHuhSq3AJ5eI5OnqOPBNLWSHKh2a30DoXe8/edit?usp=sharing"",""สงขลา!I404"")"),0)</f>
        <v>0</v>
      </c>
      <c r="J509" s="166">
        <f ca="1">IFERROR(__xludf.DUMMYFUNCTION("IMPORTRANGE(""https://docs.google.com/spreadsheets/d/1IYY_tgx_IHuhSq3AJ5eI5OnqOPBNLWSHKh2a30DoXe8/edit?usp=sharing"",""สงขลา!J404"")"),6)</f>
        <v>6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IFERROR(__xludf.DUMMYFUNCTION("IMPORTRANGE(""https://docs.google.com/spreadsheets/d/1IYY_tgx_IHuhSq3AJ5eI5OnqOPBNLWSHKh2a30DoXe8/edit?usp=sharing"",""สงขลา!I405"")"),0)</f>
        <v>0</v>
      </c>
      <c r="J510" s="204">
        <f ca="1">IFERROR(__xludf.DUMMYFUNCTION("IMPORTRANGE(""https://docs.google.com/spreadsheets/d/1IYY_tgx_IHuhSq3AJ5eI5OnqOPBNLWSHKh2a30DoXe8/edit?usp=sharing"",""สงขลา!J405"")"),47)</f>
        <v>47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IFERROR(__xludf.DUMMYFUNCTION("IMPORTRANGE(""https://docs.google.com/spreadsheets/d/1IYY_tgx_IHuhSq3AJ5eI5OnqOPBNLWSHKh2a30DoXe8/edit?usp=sharing"",""สงขลา!I406"")"),0)</f>
        <v>0</v>
      </c>
      <c r="J511" s="204">
        <f ca="1">IFERROR(__xludf.DUMMYFUNCTION("IMPORTRANGE(""https://docs.google.com/spreadsheets/d/1IYY_tgx_IHuhSq3AJ5eI5OnqOPBNLWSHKh2a30DoXe8/edit?usp=sharing"",""สงขลา!J406"")"),6)</f>
        <v>6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IFERROR(__xludf.DUMMYFUNCTION("IMPORTRANGE(""https://docs.google.com/spreadsheets/d/1IYY_tgx_IHuhSq3AJ5eI5OnqOPBNLWSHKh2a30DoXe8/edit?usp=sharing"",""สงขลา!I407"")"),0)</f>
        <v>0</v>
      </c>
      <c r="J512" s="204">
        <f ca="1">IFERROR(__xludf.DUMMYFUNCTION("IMPORTRANGE(""https://docs.google.com/spreadsheets/d/1IYY_tgx_IHuhSq3AJ5eI5OnqOPBNLWSHKh2a30DoXe8/edit?usp=sharing"",""สงขลา!J407"")"),0)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IFERROR(__xludf.DUMMYFUNCTION("IMPORTRANGE(""https://docs.google.com/spreadsheets/d/1IYY_tgx_IHuhSq3AJ5eI5OnqOPBNLWSHKh2a30DoXe8/edit?usp=sharing"",""สงขลา!I408"")"),0)</f>
        <v>0</v>
      </c>
      <c r="J513" s="204">
        <f ca="1">IFERROR(__xludf.DUMMYFUNCTION("IMPORTRANGE(""https://docs.google.com/spreadsheets/d/1IYY_tgx_IHuhSq3AJ5eI5OnqOPBNLWSHKh2a30DoXe8/edit?usp=sharing"",""สงขลา!J408"")"),0)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IFERROR(__xludf.DUMMYFUNCTION("IMPORTRANGE(""https://docs.google.com/spreadsheets/d/1IYY_tgx_IHuhSq3AJ5eI5OnqOPBNLWSHKh2a30DoXe8/edit?usp=sharing"",""สงขลา!I409"")"),0)</f>
        <v>0</v>
      </c>
      <c r="J514" s="204">
        <f ca="1">IFERROR(__xludf.DUMMYFUNCTION("IMPORTRANGE(""https://docs.google.com/spreadsheets/d/1IYY_tgx_IHuhSq3AJ5eI5OnqOPBNLWSHKh2a30DoXe8/edit?usp=sharing"",""สงขลา!J409"")"),0)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IFERROR(__xludf.DUMMYFUNCTION("IMPORTRANGE(""https://docs.google.com/spreadsheets/d/1IYY_tgx_IHuhSq3AJ5eI5OnqOPBNLWSHKh2a30DoXe8/edit?usp=sharing"",""สงขลา!I410"")"),0)</f>
        <v>0</v>
      </c>
      <c r="J515" s="204">
        <f ca="1">IFERROR(__xludf.DUMMYFUNCTION("IMPORTRANGE(""https://docs.google.com/spreadsheets/d/1IYY_tgx_IHuhSq3AJ5eI5OnqOPBNLWSHKh2a30DoXe8/edit?usp=sharing"",""สงขลา!J410"")"),0)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IFERROR(__xludf.DUMMYFUNCTION("IMPORTRANGE(""https://docs.google.com/spreadsheets/d/1IYY_tgx_IHuhSq3AJ5eI5OnqOPBNLWSHKh2a30DoXe8/edit?usp=sharing"",""สงขลา!I411"")"),0)</f>
        <v>0</v>
      </c>
      <c r="J516" s="273">
        <f ca="1">IFERROR(__xludf.DUMMYFUNCTION("IMPORTRANGE(""https://docs.google.com/spreadsheets/d/1IYY_tgx_IHuhSq3AJ5eI5OnqOPBNLWSHKh2a30DoXe8/edit?usp=sharing"",""สงขลา!J411"")"),0)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IFERROR(__xludf.DUMMYFUNCTION("IMPORTRANGE(""https://docs.google.com/spreadsheets/d/1IYY_tgx_IHuhSq3AJ5eI5OnqOPBNLWSHKh2a30DoXe8/edit?usp=sharing"",""สงขลา!I414"")"),0)</f>
        <v>0</v>
      </c>
      <c r="J519" s="194">
        <f ca="1">IFERROR(__xludf.DUMMYFUNCTION("IMPORTRANGE(""https://docs.google.com/spreadsheets/d/1IYY_tgx_IHuhSq3AJ5eI5OnqOPBNLWSHKh2a30DoXe8/edit?usp=sharing"",""สงขลา!J414"")"),0)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IFERROR(__xludf.DUMMYFUNCTION("IMPORTRANGE(""https://docs.google.com/spreadsheets/d/1IYY_tgx_IHuhSq3AJ5eI5OnqOPBNLWSHKh2a30DoXe8/edit?usp=sharing"",""สงขลา!I415"")"),0)</f>
        <v>0</v>
      </c>
      <c r="J520" s="194">
        <f ca="1">IFERROR(__xludf.DUMMYFUNCTION("IMPORTRANGE(""https://docs.google.com/spreadsheets/d/1IYY_tgx_IHuhSq3AJ5eI5OnqOPBNLWSHKh2a30DoXe8/edit?usp=sharing"",""สงขลา!J415"")"),0)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IFERROR(__xludf.DUMMYFUNCTION("IMPORTRANGE(""https://docs.google.com/spreadsheets/d/1IYY_tgx_IHuhSq3AJ5eI5OnqOPBNLWSHKh2a30DoXe8/edit?usp=sharing"",""สงขลา!I416"")"),0)</f>
        <v>0</v>
      </c>
      <c r="J521" s="194">
        <f ca="1">IFERROR(__xludf.DUMMYFUNCTION("IMPORTRANGE(""https://docs.google.com/spreadsheets/d/1IYY_tgx_IHuhSq3AJ5eI5OnqOPBNLWSHKh2a30DoXe8/edit?usp=sharing"",""สงขลา!J416"")"),0)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IFERROR(__xludf.DUMMYFUNCTION("IMPORTRANGE(""https://docs.google.com/spreadsheets/d/1IYY_tgx_IHuhSq3AJ5eI5OnqOPBNLWSHKh2a30DoXe8/edit?usp=sharing"",""สงขลา!I417"")"),0)</f>
        <v>0</v>
      </c>
      <c r="J522" s="194">
        <f ca="1">IFERROR(__xludf.DUMMYFUNCTION("IMPORTRANGE(""https://docs.google.com/spreadsheets/d/1IYY_tgx_IHuhSq3AJ5eI5OnqOPBNLWSHKh2a30DoXe8/edit?usp=sharing"",""สงขลา!J417"")"),0)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IFERROR(__xludf.DUMMYFUNCTION("IMPORTRANGE(""https://docs.google.com/spreadsheets/d/1IYY_tgx_IHuhSq3AJ5eI5OnqOPBNLWSHKh2a30DoXe8/edit?usp=sharing"",""สงขลา!I418"")"),0)</f>
        <v>0</v>
      </c>
      <c r="J523" s="194">
        <f ca="1">IFERROR(__xludf.DUMMYFUNCTION("IMPORTRANGE(""https://docs.google.com/spreadsheets/d/1IYY_tgx_IHuhSq3AJ5eI5OnqOPBNLWSHKh2a30DoXe8/edit?usp=sharing"",""สงขลา!J418"")"),0)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IFERROR(__xludf.DUMMYFUNCTION("IMPORTRANGE(""https://docs.google.com/spreadsheets/d/1IYY_tgx_IHuhSq3AJ5eI5OnqOPBNLWSHKh2a30DoXe8/edit?usp=sharing"",""สงขลา!I419"")"),0)</f>
        <v>0</v>
      </c>
      <c r="J524" s="194">
        <f ca="1">IFERROR(__xludf.DUMMYFUNCTION("IMPORTRANGE(""https://docs.google.com/spreadsheets/d/1IYY_tgx_IHuhSq3AJ5eI5OnqOPBNLWSHKh2a30DoXe8/edit?usp=sharing"",""สงขลา!J419"")"),0)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IFERROR(__xludf.DUMMYFUNCTION("IMPORTRANGE(""https://docs.google.com/spreadsheets/d/1IYY_tgx_IHuhSq3AJ5eI5OnqOPBNLWSHKh2a30DoXe8/edit?usp=sharing"",""สงขลา!I422"")"),0)</f>
        <v>0</v>
      </c>
      <c r="J527" s="204">
        <f ca="1">IFERROR(__xludf.DUMMYFUNCTION("IMPORTRANGE(""https://docs.google.com/spreadsheets/d/1IYY_tgx_IHuhSq3AJ5eI5OnqOPBNLWSHKh2a30DoXe8/edit?usp=sharing"",""สงขลา!J422"")"),0)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IFERROR(__xludf.DUMMYFUNCTION("IMPORTRANGE(""https://docs.google.com/spreadsheets/d/1IYY_tgx_IHuhSq3AJ5eI5OnqOPBNLWSHKh2a30DoXe8/edit?usp=sharing"",""สงขลา!I423"")"),0)</f>
        <v>0</v>
      </c>
      <c r="J528" s="204">
        <f ca="1">IFERROR(__xludf.DUMMYFUNCTION("IMPORTRANGE(""https://docs.google.com/spreadsheets/d/1IYY_tgx_IHuhSq3AJ5eI5OnqOPBNLWSHKh2a30DoXe8/edit?usp=sharing"",""สงขลา!J423"")"),0)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IFERROR(__xludf.DUMMYFUNCTION("IMPORTRANGE(""https://docs.google.com/spreadsheets/d/1IYY_tgx_IHuhSq3AJ5eI5OnqOPBNLWSHKh2a30DoXe8/edit?usp=sharing"",""สงขลา!I424"")"),0)</f>
        <v>0</v>
      </c>
      <c r="J529" s="204">
        <f ca="1">IFERROR(__xludf.DUMMYFUNCTION("IMPORTRANGE(""https://docs.google.com/spreadsheets/d/1IYY_tgx_IHuhSq3AJ5eI5OnqOPBNLWSHKh2a30DoXe8/edit?usp=sharing"",""สงขลา!J424"")"),0)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IFERROR(__xludf.DUMMYFUNCTION("IMPORTRANGE(""https://docs.google.com/spreadsheets/d/1IYY_tgx_IHuhSq3AJ5eI5OnqOPBNLWSHKh2a30DoXe8/edit?usp=sharing"",""สงขลา!I425"")"),0)</f>
        <v>0</v>
      </c>
      <c r="J530" s="204">
        <f ca="1">IFERROR(__xludf.DUMMYFUNCTION("IMPORTRANGE(""https://docs.google.com/spreadsheets/d/1IYY_tgx_IHuhSq3AJ5eI5OnqOPBNLWSHKh2a30DoXe8/edit?usp=sharing"",""สงขลา!J425"")"),0)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IFERROR(__xludf.DUMMYFUNCTION("IMPORTRANGE(""https://docs.google.com/spreadsheets/d/1IYY_tgx_IHuhSq3AJ5eI5OnqOPBNLWSHKh2a30DoXe8/edit?usp=sharing"",""สงขลา!I426"")"),0)</f>
        <v>0</v>
      </c>
      <c r="J531" s="204">
        <f ca="1">IFERROR(__xludf.DUMMYFUNCTION("IMPORTRANGE(""https://docs.google.com/spreadsheets/d/1IYY_tgx_IHuhSq3AJ5eI5OnqOPBNLWSHKh2a30DoXe8/edit?usp=sharing"",""สงขลา!J426"")"),0)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IFERROR(__xludf.DUMMYFUNCTION("IMPORTRANGE(""https://docs.google.com/spreadsheets/d/1IYY_tgx_IHuhSq3AJ5eI5OnqOPBNLWSHKh2a30DoXe8/edit?usp=sharing"",""สงขลา!M428"")"),27090)</f>
        <v>27090</v>
      </c>
      <c r="O533" s="418">
        <f t="shared" ref="O533:O537" ca="1" si="118">+IF(L533&gt;0,N533*100/L533,0)</f>
        <v>82.996323529411768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IFERROR(__xludf.DUMMYFUNCTION("IMPORTRANGE(""https://docs.google.com/spreadsheets/d/1IYY_tgx_IHuhSq3AJ5eI5OnqOPBNLWSHKh2a30DoXe8/edit?usp=sharing"",""สงขลา!L429"")"),0)</f>
        <v>0</v>
      </c>
      <c r="M534" s="168"/>
      <c r="N534" s="175">
        <f ca="1">IFERROR(__xludf.DUMMYFUNCTION("IMPORTRANGE(""https://docs.google.com/spreadsheets/d/1IYY_tgx_IHuhSq3AJ5eI5OnqOPBNLWSHKh2a30DoXe8/edit?usp=sharing"",""สงขลา!M429"")"),0)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IFERROR(__xludf.DUMMYFUNCTION("IMPORTRANGE(""https://docs.google.com/spreadsheets/d/1IYY_tgx_IHuhSq3AJ5eI5OnqOPBNLWSHKh2a30DoXe8/edit?usp=sharing"",""สงขลา!L430"")"),32640)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IFERROR(__xludf.DUMMYFUNCTION("IMPORTRANGE(""https://docs.google.com/spreadsheets/d/1IYY_tgx_IHuhSq3AJ5eI5OnqOPBNLWSHKh2a30DoXe8/edit?usp=sharing"",""สงขลา!M430"")"),27090)</f>
        <v>27090</v>
      </c>
      <c r="O535" s="175">
        <f t="shared" ca="1" si="118"/>
        <v>82.996323529411768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IFERROR(__xludf.DUMMYFUNCTION("IMPORTRANGE(""https://docs.google.com/spreadsheets/d/1IYY_tgx_IHuhSq3AJ5eI5OnqOPBNLWSHKh2a30DoXe8/edit?usp=sharing"",""สงขลา!L431"")"),0)</f>
        <v>0</v>
      </c>
      <c r="M536" s="175"/>
      <c r="N536" s="175">
        <f ca="1">IFERROR(__xludf.DUMMYFUNCTION("IMPORTRANGE(""https://docs.google.com/spreadsheets/d/1IYY_tgx_IHuhSq3AJ5eI5OnqOPBNLWSHKh2a30DoXe8/edit?usp=sharing"",""สงขลา!M431"")"),0)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IFERROR(__xludf.DUMMYFUNCTION("IMPORTRANGE(""https://docs.google.com/spreadsheets/d/1IYY_tgx_IHuhSq3AJ5eI5OnqOPBNLWSHKh2a30DoXe8/edit?usp=sharing"",""สงขลา!L432"")"),32640)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IFERROR(__xludf.DUMMYFUNCTION("IMPORTRANGE(""https://docs.google.com/spreadsheets/d/1IYY_tgx_IHuhSq3AJ5eI5OnqOPBNLWSHKh2a30DoXe8/edit?usp=sharing"",""สงขลา!M432"")"),27090)</f>
        <v>27090</v>
      </c>
      <c r="O537" s="175">
        <f t="shared" ca="1" si="118"/>
        <v>82.996323529411768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IFERROR(__xludf.DUMMYFUNCTION("IMPORTRANGE(""https://docs.google.com/spreadsheets/d/1IYY_tgx_IHuhSq3AJ5eI5OnqOPBNLWSHKh2a30DoXe8/edit?usp=sharing"",""สงขลา!M433"")"),15665)</f>
        <v>15665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IFERROR(__xludf.DUMMYFUNCTION("IMPORTRANGE(""https://docs.google.com/spreadsheets/d/1IYY_tgx_IHuhSq3AJ5eI5OnqOPBNLWSHKh2a30DoXe8/edit?usp=sharing"",""สงขลา!J438"")"),0)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IFERROR(__xludf.DUMMYFUNCTION("IMPORTRANGE(""https://docs.google.com/spreadsheets/d/1IYY_tgx_IHuhSq3AJ5eI5OnqOPBNLWSHKh2a30DoXe8/edit?usp=sharing"",""สงขลา!J439"")"),1)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IFERROR(__xludf.DUMMYFUNCTION("IMPORTRANGE(""https://docs.google.com/spreadsheets/d/1IYY_tgx_IHuhSq3AJ5eI5OnqOPBNLWSHKh2a30DoXe8/edit?usp=sharing"",""สงขลา!J440"")"),1)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IFERROR(__xludf.DUMMYFUNCTION("IMPORTRANGE(""https://docs.google.com/spreadsheets/d/1IYY_tgx_IHuhSq3AJ5eI5OnqOPBNLWSHKh2a30DoXe8/edit?usp=sharing"",""สงขลา!J441"")"),1)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IFERROR(__xludf.DUMMYFUNCTION("IMPORTRANGE(""https://docs.google.com/spreadsheets/d/1IYY_tgx_IHuhSq3AJ5eI5OnqOPBNLWSHKh2a30DoXe8/edit?usp=sharing"",""สงขลา!I442"")"),20)</f>
        <v>20</v>
      </c>
      <c r="J547" s="195">
        <f ca="1">IFERROR(__xludf.DUMMYFUNCTION("IMPORTRANGE(""https://docs.google.com/spreadsheets/d/1IYY_tgx_IHuhSq3AJ5eI5OnqOPBNLWSHKh2a30DoXe8/edit?usp=sharing"",""สงขลา!J442"")"),20)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IFERROR(__xludf.DUMMYFUNCTION("IMPORTRANGE(""https://docs.google.com/spreadsheets/d/1IYY_tgx_IHuhSq3AJ5eI5OnqOPBNLWSHKh2a30DoXe8/edit?usp=sharing"",""สงขลา!J166"")"),0)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IFERROR(__xludf.DUMMYFUNCTION("IMPORTRANGE(""https://docs.google.com/spreadsheets/d/1IYY_tgx_IHuhSq3AJ5eI5OnqOPBNLWSHKh2a30DoXe8/edit?usp=sharing"",""สงขลา!J444"")"),0)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IFERROR(__xludf.DUMMYFUNCTION("IMPORTRANGE(""https://docs.google.com/spreadsheets/d/1IYY_tgx_IHuhSq3AJ5eI5OnqOPBNLWSHKh2a30DoXe8/edit?usp=sharing"",""สงขลา!L447"")"),0)</f>
        <v>0</v>
      </c>
      <c r="M552" s="168"/>
      <c r="N552" s="175">
        <f ca="1">IFERROR(__xludf.DUMMYFUNCTION("IMPORTRANGE(""https://docs.google.com/spreadsheets/d/1IYY_tgx_IHuhSq3AJ5eI5OnqOPBNLWSHKh2a30DoXe8/edit?usp=sharing"",""สงขลา!M447"")"),0)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5">
        <f ca="1">IFERROR(__xludf.DUMMYFUNCTION("IMPORTRANGE(""https://docs.google.com/spreadsheets/d/1IYY_tgx_IHuhSq3AJ5eI5OnqOPBNLWSHKh2a30DoXe8/edit?usp=sharing"",""สงขลา!M448"")"),0)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IFERROR(__xludf.DUMMYFUNCTION("IMPORTRANGE(""https://docs.google.com/spreadsheets/d/1IYY_tgx_IHuhSq3AJ5eI5OnqOPBNLWSHKh2a30DoXe8/edit?usp=sharing"",""สงขลา!L449"")"),0)</f>
        <v>0</v>
      </c>
      <c r="M554" s="175"/>
      <c r="N554" s="175">
        <f ca="1">IFERROR(__xludf.DUMMYFUNCTION("IMPORTRANGE(""https://docs.google.com/spreadsheets/d/1IYY_tgx_IHuhSq3AJ5eI5OnqOPBNLWSHKh2a30DoXe8/edit?usp=sharing"",""สงขลา!M449"")"),0)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IFERROR(__xludf.DUMMYFUNCTION("IMPORTRANGE(""https://docs.google.com/spreadsheets/d/1IYY_tgx_IHuhSq3AJ5eI5OnqOPBNLWSHKh2a30DoXe8/edit?usp=sharing"",""สงขลา!L450"")"),0)</f>
        <v>0</v>
      </c>
      <c r="M555" s="175"/>
      <c r="N555" s="175">
        <f ca="1">IFERROR(__xludf.DUMMYFUNCTION("IMPORTRANGE(""https://docs.google.com/spreadsheets/d/1IYY_tgx_IHuhSq3AJ5eI5OnqOPBNLWSHKh2a30DoXe8/edit?usp=sharing"",""สงขลา!M450"")"),0)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IFERROR(__xludf.DUMMYFUNCTION("IMPORTRANGE(""https://docs.google.com/spreadsheets/d/1IYY_tgx_IHuhSq3AJ5eI5OnqOPBNLWSHKh2a30DoXe8/edit?usp=sharing"",""สงขลา!M451"")"),0)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IFERROR(__xludf.DUMMYFUNCTION("IMPORTRANGE(""https://docs.google.com/spreadsheets/d/1IYY_tgx_IHuhSq3AJ5eI5OnqOPBNLWSHKh2a30DoXe8/edit?usp=sharing"",""สงขลา!M452"")"),0)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IFERROR(__xludf.DUMMYFUNCTION("IMPORTRANGE(""https://docs.google.com/spreadsheets/d/1IYY_tgx_IHuhSq3AJ5eI5OnqOPBNLWSHKh2a30DoXe8/edit?usp=sharing"",""สงขลา!M453"")"),0)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IFERROR(__xludf.DUMMYFUNCTION("IMPORTRANGE(""https://docs.google.com/spreadsheets/d/1IYY_tgx_IHuhSq3AJ5eI5OnqOPBNLWSHKh2a30DoXe8/edit?usp=sharing"",""สงขลา!M454"")"),0)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IFERROR(__xludf.DUMMYFUNCTION("IMPORTRANGE(""https://docs.google.com/spreadsheets/d/1IYY_tgx_IHuhSq3AJ5eI5OnqOPBNLWSHKh2a30DoXe8/edit?usp=sharing"",""สงขลา!I455"")"),0)</f>
        <v>0</v>
      </c>
      <c r="J560" s="166">
        <f ca="1">IFERROR(__xludf.DUMMYFUNCTION("IMPORTRANGE(""https://docs.google.com/spreadsheets/d/1IYY_tgx_IHuhSq3AJ5eI5OnqOPBNLWSHKh2a30DoXe8/edit?usp=sharing"",""สงขลา!J455"")"),0)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IFERROR(__xludf.DUMMYFUNCTION("IMPORTRANGE(""https://docs.google.com/spreadsheets/d/1IYY_tgx_IHuhSq3AJ5eI5OnqOPBNLWSHKh2a30DoXe8/edit?usp=sharing"",""สงขลา!I456"")"),0)</f>
        <v>0</v>
      </c>
      <c r="J561" s="210">
        <f ca="1">IFERROR(__xludf.DUMMYFUNCTION("IMPORTRANGE(""https://docs.google.com/spreadsheets/d/1IYY_tgx_IHuhSq3AJ5eI5OnqOPBNLWSHKh2a30DoXe8/edit?usp=sharing"",""สงขลา!J456"")"),0)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IFERROR(__xludf.DUMMYFUNCTION("IMPORTRANGE(""https://docs.google.com/spreadsheets/d/1IYY_tgx_IHuhSq3AJ5eI5OnqOPBNLWSHKh2a30DoXe8/edit?usp=sharing"",""สงขลา!J459"")"),2056)</f>
        <v>2056</v>
      </c>
      <c r="K564" s="378">
        <f ca="1">IF(I564&gt;0,J564*100/I564,0)</f>
        <v>186.90909090909091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IFERROR(__xludf.DUMMYFUNCTION("IMPORTRANGE(""https://docs.google.com/spreadsheets/d/1IYY_tgx_IHuhSq3AJ5eI5OnqOPBNLWSHKh2a30DoXe8/edit?usp=sharing"",""สงขลา!M459"")"),106535)</f>
        <v>106535</v>
      </c>
      <c r="O564" s="379">
        <f t="shared" ref="O564:O568" ca="1" si="122">+IF(L564&gt;0,N564*100/L564,0)</f>
        <v>86.193365695792878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IFERROR(__xludf.DUMMYFUNCTION("IMPORTRANGE(""https://docs.google.com/spreadsheets/d/1IYY_tgx_IHuhSq3AJ5eI5OnqOPBNLWSHKh2a30DoXe8/edit?usp=sharing"",""สงขลา!L460"")"),0)</f>
        <v>0</v>
      </c>
      <c r="M565" s="168"/>
      <c r="N565" s="175">
        <f ca="1">IFERROR(__xludf.DUMMYFUNCTION("IMPORTRANGE(""https://docs.google.com/spreadsheets/d/1IYY_tgx_IHuhSq3AJ5eI5OnqOPBNLWSHKh2a30DoXe8/edit?usp=sharing"",""สงขลา!M460"")"),0)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5">
        <f ca="1">IFERROR(__xludf.DUMMYFUNCTION("IMPORTRANGE(""https://docs.google.com/spreadsheets/d/1IYY_tgx_IHuhSq3AJ5eI5OnqOPBNLWSHKh2a30DoXe8/edit?usp=sharing"",""สงขลา!M461"")"),106535)</f>
        <v>106535</v>
      </c>
      <c r="O566" s="175">
        <f t="shared" ca="1" si="122"/>
        <v>86.193365695792878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IFERROR(__xludf.DUMMYFUNCTION("IMPORTRANGE(""https://docs.google.com/spreadsheets/d/1IYY_tgx_IHuhSq3AJ5eI5OnqOPBNLWSHKh2a30DoXe8/edit?usp=sharing"",""สงขลา!L462"")"),0)</f>
        <v>0</v>
      </c>
      <c r="M567" s="175"/>
      <c r="N567" s="175">
        <f ca="1">IFERROR(__xludf.DUMMYFUNCTION("IMPORTRANGE(""https://docs.google.com/spreadsheets/d/1IYY_tgx_IHuhSq3AJ5eI5OnqOPBNLWSHKh2a30DoXe8/edit?usp=sharing"",""สงขลา!M462"")"),0)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IFERROR(__xludf.DUMMYFUNCTION("IMPORTRANGE(""https://docs.google.com/spreadsheets/d/1IYY_tgx_IHuhSq3AJ5eI5OnqOPBNLWSHKh2a30DoXe8/edit?usp=sharing"",""สงขลา!L463"")"),123600)</f>
        <v>123600</v>
      </c>
      <c r="M568" s="175"/>
      <c r="N568" s="175">
        <f ca="1">IFERROR(__xludf.DUMMYFUNCTION("IMPORTRANGE(""https://docs.google.com/spreadsheets/d/1IYY_tgx_IHuhSq3AJ5eI5OnqOPBNLWSHKh2a30DoXe8/edit?usp=sharing"",""สงขลา!M463"")"),106535)</f>
        <v>106535</v>
      </c>
      <c r="O568" s="175">
        <f t="shared" ca="1" si="122"/>
        <v>86.193365695792878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IFERROR(__xludf.DUMMYFUNCTION("IMPORTRANGE(""https://docs.google.com/spreadsheets/d/1IYY_tgx_IHuhSq3AJ5eI5OnqOPBNLWSHKh2a30DoXe8/edit?usp=sharing"",""สงขลา!M464"")"),0)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IFERROR(__xludf.DUMMYFUNCTION("IMPORTRANGE(""https://docs.google.com/spreadsheets/d/1IYY_tgx_IHuhSq3AJ5eI5OnqOPBNLWSHKh2a30DoXe8/edit?usp=sharing"",""สงขลา!M465"")"),0)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IFERROR(__xludf.DUMMYFUNCTION("IMPORTRANGE(""https://docs.google.com/spreadsheets/d/1IYY_tgx_IHuhSq3AJ5eI5OnqOPBNLWSHKh2a30DoXe8/edit?usp=sharing"",""สงขลา!M466"")"),96515)</f>
        <v>96515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IFERROR(__xludf.DUMMYFUNCTION("IMPORTRANGE(""https://docs.google.com/spreadsheets/d/1IYY_tgx_IHuhSq3AJ5eI5OnqOPBNLWSHKh2a30DoXe8/edit?usp=sharing"",""สงขลา!M467"")"),10020)</f>
        <v>10020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IFERROR(__xludf.DUMMYFUNCTION("IMPORTRANGE(""https://docs.google.com/spreadsheets/d/1IYY_tgx_IHuhSq3AJ5eI5OnqOPBNLWSHKh2a30DoXe8/edit?usp=sharing"",""สงขลา!J468"")"),2056)</f>
        <v>2056</v>
      </c>
      <c r="K573" s="208">
        <f ca="1">IF(I573&gt;0,J573*100/I573,0)</f>
        <v>186.90909090909091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IFERROR(__xludf.DUMMYFUNCTION("IMPORTRANGE(""https://docs.google.com/spreadsheets/d/1IYY_tgx_IHuhSq3AJ5eI5OnqOPBNLWSHKh2a30DoXe8/edit?usp=sharing"",""สงขลา!I470"")"),0)</f>
        <v>0</v>
      </c>
      <c r="J575" s="204">
        <f ca="1">IFERROR(__xludf.DUMMYFUNCTION("IMPORTRANGE(""https://docs.google.com/spreadsheets/d/1IYY_tgx_IHuhSq3AJ5eI5OnqOPBNLWSHKh2a30DoXe8/edit?usp=sharing"",""สงขลา!J470"")"),4)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IFERROR(__xludf.DUMMYFUNCTION("IMPORTRANGE(""https://docs.google.com/spreadsheets/d/1IYY_tgx_IHuhSq3AJ5eI5OnqOPBNLWSHKh2a30DoXe8/edit?usp=sharing"",""สงขลา!I471"")"),0)</f>
        <v>0</v>
      </c>
      <c r="J576" s="204">
        <f ca="1">IFERROR(__xludf.DUMMYFUNCTION("IMPORTRANGE(""https://docs.google.com/spreadsheets/d/1IYY_tgx_IHuhSq3AJ5eI5OnqOPBNLWSHKh2a30DoXe8/edit?usp=sharing"",""สงขลา!J471"")"),137)</f>
        <v>137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IFERROR(__xludf.DUMMYFUNCTION("IMPORTRANGE(""https://docs.google.com/spreadsheets/d/1IYY_tgx_IHuhSq3AJ5eI5OnqOPBNLWSHKh2a30DoXe8/edit?usp=sharing"",""สงขลา!I472"")"),0)</f>
        <v>0</v>
      </c>
      <c r="J577" s="195">
        <f ca="1">IFERROR(__xludf.DUMMYFUNCTION("IMPORTRANGE(""https://docs.google.com/spreadsheets/d/1IYY_tgx_IHuhSq3AJ5eI5OnqOPBNLWSHKh2a30DoXe8/edit?usp=sharing"",""สงขลา!J472"")"),1918)</f>
        <v>1918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IFERROR(__xludf.DUMMYFUNCTION("IMPORTRANGE(""https://docs.google.com/spreadsheets/d/1IYY_tgx_IHuhSq3AJ5eI5OnqOPBNLWSHKh2a30DoXe8/edit?usp=sharing"",""สงขลา!I473"")"),0)</f>
        <v>0</v>
      </c>
      <c r="J578" s="204">
        <f ca="1">IFERROR(__xludf.DUMMYFUNCTION("IMPORTRANGE(""https://docs.google.com/spreadsheets/d/1IYY_tgx_IHuhSq3AJ5eI5OnqOPBNLWSHKh2a30DoXe8/edit?usp=sharing"",""สงขลา!J473"")"),1)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IFERROR(__xludf.DUMMYFUNCTION("IMPORTRANGE(""https://docs.google.com/spreadsheets/d/1IYY_tgx_IHuhSq3AJ5eI5OnqOPBNLWSHKh2a30DoXe8/edit?usp=sharing"",""สงขลา!I474"")"),0)</f>
        <v>0</v>
      </c>
      <c r="J579" s="204">
        <f ca="1">IFERROR(__xludf.DUMMYFUNCTION("IMPORTRANGE(""https://docs.google.com/spreadsheets/d/1IYY_tgx_IHuhSq3AJ5eI5OnqOPBNLWSHKh2a30DoXe8/edit?usp=sharing"",""สงขลา!J474"")"),0)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IFERROR(__xludf.DUMMYFUNCTION("IMPORTRANGE(""https://docs.google.com/spreadsheets/d/1IYY_tgx_IHuhSq3AJ5eI5OnqOPBNLWSHKh2a30DoXe8/edit?usp=sharing"",""สงขลา!J475"")"),80)</f>
        <v>80</v>
      </c>
      <c r="K580" s="378">
        <f ca="1">IF(I580&gt;0,J580*100/I580,0)</f>
        <v>36.363636363636367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IFERROR(__xludf.DUMMYFUNCTION("IMPORTRANGE(""https://docs.google.com/spreadsheets/d/1IYY_tgx_IHuhSq3AJ5eI5OnqOPBNLWSHKh2a30DoXe8/edit?usp=sharing"",""สงขลา!M475"")"),283670)</f>
        <v>283670</v>
      </c>
      <c r="O580" s="379">
        <f t="shared" ref="O580:O584" ca="1" si="124">+IF(L580&gt;0,N580*100/L580,0)</f>
        <v>75.319951144389577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IFERROR(__xludf.DUMMYFUNCTION("IMPORTRANGE(""https://docs.google.com/spreadsheets/d/1IYY_tgx_IHuhSq3AJ5eI5OnqOPBNLWSHKh2a30DoXe8/edit?usp=sharing"",""สงขลา!L476"")"),0)</f>
        <v>0</v>
      </c>
      <c r="M581" s="168"/>
      <c r="N581" s="175">
        <f ca="1">IFERROR(__xludf.DUMMYFUNCTION("IMPORTRANGE(""https://docs.google.com/spreadsheets/d/1IYY_tgx_IHuhSq3AJ5eI5OnqOPBNLWSHKh2a30DoXe8/edit?usp=sharing"",""สงขลา!M476"")"),0)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5">
        <f ca="1">IFERROR(__xludf.DUMMYFUNCTION("IMPORTRANGE(""https://docs.google.com/spreadsheets/d/1IYY_tgx_IHuhSq3AJ5eI5OnqOPBNLWSHKh2a30DoXe8/edit?usp=sharing"",""สงขลา!M477"")"),283670)</f>
        <v>283670</v>
      </c>
      <c r="O582" s="175">
        <f t="shared" ca="1" si="124"/>
        <v>75.319951144389577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IFERROR(__xludf.DUMMYFUNCTION("IMPORTRANGE(""https://docs.google.com/spreadsheets/d/1IYY_tgx_IHuhSq3AJ5eI5OnqOPBNLWSHKh2a30DoXe8/edit?usp=sharing"",""สงขลา!L478"")"),0)</f>
        <v>0</v>
      </c>
      <c r="M583" s="175"/>
      <c r="N583" s="175">
        <f ca="1">IFERROR(__xludf.DUMMYFUNCTION("IMPORTRANGE(""https://docs.google.com/spreadsheets/d/1IYY_tgx_IHuhSq3AJ5eI5OnqOPBNLWSHKh2a30DoXe8/edit?usp=sharing"",""สงขลา!M478"")"),0)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IFERROR(__xludf.DUMMYFUNCTION("IMPORTRANGE(""https://docs.google.com/spreadsheets/d/1IYY_tgx_IHuhSq3AJ5eI5OnqOPBNLWSHKh2a30DoXe8/edit?usp=sharing"",""สงขลา!L479"")"),376620)</f>
        <v>376620</v>
      </c>
      <c r="M584" s="175"/>
      <c r="N584" s="175">
        <f ca="1">IFERROR(__xludf.DUMMYFUNCTION("IMPORTRANGE(""https://docs.google.com/spreadsheets/d/1IYY_tgx_IHuhSq3AJ5eI5OnqOPBNLWSHKh2a30DoXe8/edit?usp=sharing"",""สงขลา!M479"")"),283670)</f>
        <v>283670</v>
      </c>
      <c r="O584" s="175">
        <f t="shared" ca="1" si="124"/>
        <v>75.319951144389577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IFERROR(__xludf.DUMMYFUNCTION("IMPORTRANGE(""https://docs.google.com/spreadsheets/d/1IYY_tgx_IHuhSq3AJ5eI5OnqOPBNLWSHKh2a30DoXe8/edit?usp=sharing"",""สงขลา!M480"")"),0)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IFERROR(__xludf.DUMMYFUNCTION("IMPORTRANGE(""https://docs.google.com/spreadsheets/d/1IYY_tgx_IHuhSq3AJ5eI5OnqOPBNLWSHKh2a30DoXe8/edit?usp=sharing"",""สงขลา!M481"")"),0)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IFERROR(__xludf.DUMMYFUNCTION("IMPORTRANGE(""https://docs.google.com/spreadsheets/d/1IYY_tgx_IHuhSq3AJ5eI5OnqOPBNLWSHKh2a30DoXe8/edit?usp=sharing"",""สงขลา!M482"")"),106096)</f>
        <v>106096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IFERROR(__xludf.DUMMYFUNCTION("IMPORTRANGE(""https://docs.google.com/spreadsheets/d/1IYY_tgx_IHuhSq3AJ5eI5OnqOPBNLWSHKh2a30DoXe8/edit?usp=sharing"",""สงขลา!M483"")"),177574)</f>
        <v>177574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4">
        <f ca="1">IFERROR(__xludf.DUMMYFUNCTION("IMPORTRANGE(""https://docs.google.com/spreadsheets/d/1IYY_tgx_IHuhSq3AJ5eI5OnqOPBNLWSHKh2a30DoXe8/edit?usp=sharing"",""สงขลา!J484"")"),300)</f>
        <v>300</v>
      </c>
      <c r="K589" s="167">
        <f t="shared" ref="K589:K596" ca="1" si="125">IF(I589&gt;0,J589*100/I589,0)</f>
        <v>136.36363636363637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4">
        <f ca="1">IFERROR(__xludf.DUMMYFUNCTION("IMPORTRANGE(""https://docs.google.com/spreadsheets/d/1IYY_tgx_IHuhSq3AJ5eI5OnqOPBNLWSHKh2a30DoXe8/edit?usp=sharing"",""สงขลา!J485"")"),80.97)</f>
        <v>80.97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4">
        <f ca="1">IFERROR(__xludf.DUMMYFUNCTION("IMPORTRANGE(""https://docs.google.com/spreadsheets/d/1IYY_tgx_IHuhSq3AJ5eI5OnqOPBNLWSHKh2a30DoXe8/edit?usp=sharing"",""สงขลา!J486"")"),215)</f>
        <v>215</v>
      </c>
      <c r="K591" s="167">
        <f t="shared" ca="1" si="125"/>
        <v>97.727272727272734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4">
        <f ca="1">IFERROR(__xludf.DUMMYFUNCTION("IMPORTRANGE(""https://docs.google.com/spreadsheets/d/1IYY_tgx_IHuhSq3AJ5eI5OnqOPBNLWSHKh2a30DoXe8/edit?usp=sharing"",""สงขลา!J487"")"),71.2)</f>
        <v>71.2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4">
        <f ca="1">IFERROR(__xludf.DUMMYFUNCTION("IMPORTRANGE(""https://docs.google.com/spreadsheets/d/1IYY_tgx_IHuhSq3AJ5eI5OnqOPBNLWSHKh2a30DoXe8/edit?usp=sharing"",""สงขลา!J488"")"),80)</f>
        <v>80</v>
      </c>
      <c r="K593" s="167">
        <f t="shared" ca="1" si="125"/>
        <v>36.363636363636367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4">
        <f ca="1">IFERROR(__xludf.DUMMYFUNCTION("IMPORTRANGE(""https://docs.google.com/spreadsheets/d/1IYY_tgx_IHuhSq3AJ5eI5OnqOPBNLWSHKh2a30DoXe8/edit?usp=sharing"",""สงขลา!J489"")"),28.84)</f>
        <v>28.84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4">
        <f ca="1">IFERROR(__xludf.DUMMYFUNCTION("IMPORTRANGE(""https://docs.google.com/spreadsheets/d/1IYY_tgx_IHuhSq3AJ5eI5OnqOPBNLWSHKh2a30DoXe8/edit?usp=sharing"",""สงขลา!J490"")"),80)</f>
        <v>80</v>
      </c>
      <c r="K595" s="167">
        <f t="shared" ca="1" si="125"/>
        <v>36.363636363636367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IFERROR(__xludf.DUMMYFUNCTION("IMPORTRANGE(""https://docs.google.com/spreadsheets/d/1IYY_tgx_IHuhSq3AJ5eI5OnqOPBNLWSHKh2a30DoXe8/edit?usp=sharing"",""สงขลา!I491"")"),0)</f>
        <v>0</v>
      </c>
      <c r="J596" s="247">
        <f ca="1">IFERROR(__xludf.DUMMYFUNCTION("IMPORTRANGE(""https://docs.google.com/spreadsheets/d/1IYY_tgx_IHuhSq3AJ5eI5OnqOPBNLWSHKh2a30DoXe8/edit?usp=sharing"",""สงขลา!J491"")"),28.84)</f>
        <v>28.84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4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IFERROR(__xludf.DUMMYFUNCTION("IMPORTRANGE(""https://docs.google.com/spreadsheets/d/1IYY_tgx_IHuhSq3AJ5eI5OnqOPBNLWSHKh2a30DoXe8/edit?usp=sharing"",""สงขลา!M492"")"),14115)</f>
        <v>14115</v>
      </c>
      <c r="O597" s="418">
        <f t="shared" ref="O597:O601" ca="1" si="126">+IF(L597&gt;0,N597*100/L597,0)</f>
        <v>310.2197802197802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IFERROR(__xludf.DUMMYFUNCTION("IMPORTRANGE(""https://docs.google.com/spreadsheets/d/1IYY_tgx_IHuhSq3AJ5eI5OnqOPBNLWSHKh2a30DoXe8/edit?usp=sharing"",""สงขลา!L493"")"),0)</f>
        <v>0</v>
      </c>
      <c r="M598" s="168"/>
      <c r="N598" s="175">
        <f ca="1">IFERROR(__xludf.DUMMYFUNCTION("IMPORTRANGE(""https://docs.google.com/spreadsheets/d/1IYY_tgx_IHuhSq3AJ5eI5OnqOPBNLWSHKh2a30DoXe8/edit?usp=sharing"",""สงขลา!M493"")"),0)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IFERROR(__xludf.DUMMYFUNCTION("IMPORTRANGE(""https://docs.google.com/spreadsheets/d/1IYY_tgx_IHuhSq3AJ5eI5OnqOPBNLWSHKh2a30DoXe8/edit?usp=sharing"",""สงขลา!L494"")"),4550)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IFERROR(__xludf.DUMMYFUNCTION("IMPORTRANGE(""https://docs.google.com/spreadsheets/d/1IYY_tgx_IHuhSq3AJ5eI5OnqOPBNLWSHKh2a30DoXe8/edit?usp=sharing"",""สงขลา!M494"")"),14115)</f>
        <v>14115</v>
      </c>
      <c r="O599" s="175">
        <f t="shared" ca="1" si="126"/>
        <v>310.2197802197802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IFERROR(__xludf.DUMMYFUNCTION("IMPORTRANGE(""https://docs.google.com/spreadsheets/d/1IYY_tgx_IHuhSq3AJ5eI5OnqOPBNLWSHKh2a30DoXe8/edit?usp=sharing"",""สงขลา!L495"")"),0)</f>
        <v>0</v>
      </c>
      <c r="M600" s="175"/>
      <c r="N600" s="175">
        <f ca="1">IFERROR(__xludf.DUMMYFUNCTION("IMPORTRANGE(""https://docs.google.com/spreadsheets/d/1IYY_tgx_IHuhSq3AJ5eI5OnqOPBNLWSHKh2a30DoXe8/edit?usp=sharing"",""สงขลา!M495"")"),0)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IFERROR(__xludf.DUMMYFUNCTION("IMPORTRANGE(""https://docs.google.com/spreadsheets/d/1IYY_tgx_IHuhSq3AJ5eI5OnqOPBNLWSHKh2a30DoXe8/edit?usp=sharing"",""สงขลา!L496"")"),4550)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IFERROR(__xludf.DUMMYFUNCTION("IMPORTRANGE(""https://docs.google.com/spreadsheets/d/1IYY_tgx_IHuhSq3AJ5eI5OnqOPBNLWSHKh2a30DoXe8/edit?usp=sharing"",""สงขลา!M496"")"),14115)</f>
        <v>14115</v>
      </c>
      <c r="O601" s="175">
        <f t="shared" ca="1" si="126"/>
        <v>310.2197802197802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IFERROR(__xludf.DUMMYFUNCTION("IMPORTRANGE(""https://docs.google.com/spreadsheets/d/1IYY_tgx_IHuhSq3AJ5eI5OnqOPBNLWSHKh2a30DoXe8/edit?usp=sharing"",""สงขลา!M497"")"),0)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IFERROR(__xludf.DUMMYFUNCTION("IMPORTRANGE(""https://docs.google.com/spreadsheets/d/1IYY_tgx_IHuhSq3AJ5eI5OnqOPBNLWSHKh2a30DoXe8/edit?usp=sharing"",""สงขลา!M498"")"),0)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IFERROR(__xludf.DUMMYFUNCTION("IMPORTRANGE(""https://docs.google.com/spreadsheets/d/1IYY_tgx_IHuhSq3AJ5eI5OnqOPBNLWSHKh2a30DoXe8/edit?usp=sharing"",""สงขลา!M500"")"),14115)</f>
        <v>14115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IFERROR(__xludf.DUMMYFUNCTION("IMPORTRANGE(""https://docs.google.com/spreadsheets/d/1IYY_tgx_IHuhSq3AJ5eI5OnqOPBNLWSHKh2a30DoXe8/edit?usp=sharing"",""สงขลา!J502"")"),0)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IFERROR(__xludf.DUMMYFUNCTION("IMPORTRANGE(""https://docs.google.com/spreadsheets/d/1IYY_tgx_IHuhSq3AJ5eI5OnqOPBNLWSHKh2a30DoXe8/edit?usp=sharing"",""สงขลา!J503"")"),1)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IFERROR(__xludf.DUMMYFUNCTION("IMPORTRANGE(""https://docs.google.com/spreadsheets/d/1IYY_tgx_IHuhSq3AJ5eI5OnqOPBNLWSHKh2a30DoXe8/edit?usp=sharing"",""สงขลา!J166"")"),0)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IFERROR(__xludf.DUMMYFUNCTION("IMPORTRANGE(""https://docs.google.com/spreadsheets/d/1IYY_tgx_IHuhSq3AJ5eI5OnqOPBNLWSHKh2a30DoXe8/edit?usp=sharing"",""สงขลา!J166"")"),0)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IFERROR(__xludf.DUMMYFUNCTION("IMPORTRANGE(""https://docs.google.com/spreadsheets/d/1IYY_tgx_IHuhSq3AJ5eI5OnqOPBNLWSHKh2a30DoXe8/edit?usp=sharing"",""สงขลา!I506"")"),50)</f>
        <v>50</v>
      </c>
      <c r="J611" s="166">
        <f ca="1">IFERROR(__xludf.DUMMYFUNCTION("IMPORTRANGE(""https://docs.google.com/spreadsheets/d/1IYY_tgx_IHuhSq3AJ5eI5OnqOPBNLWSHKh2a30DoXe8/edit?usp=sharing"",""สงขลา!J506"")"),0)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IFERROR(__xludf.DUMMYFUNCTION("IMPORTRANGE(""https://docs.google.com/spreadsheets/d/1IYY_tgx_IHuhSq3AJ5eI5OnqOPBNLWSHKh2a30DoXe8/edit?usp=sharing"",""สงขลา!I507"")"),0)</f>
        <v>0</v>
      </c>
      <c r="J612" s="204">
        <f ca="1">IFERROR(__xludf.DUMMYFUNCTION("IMPORTRANGE(""https://docs.google.com/spreadsheets/d/1IYY_tgx_IHuhSq3AJ5eI5OnqOPBNLWSHKh2a30DoXe8/edit?usp=sharing"",""สงขลา!J507"")"),303.42)</f>
        <v>303.42</v>
      </c>
      <c r="K612" s="167">
        <f t="shared" ca="1" si="127"/>
        <v>606.84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IFERROR(__xludf.DUMMYFUNCTION("IMPORTRANGE(""https://docs.google.com/spreadsheets/d/1IYY_tgx_IHuhSq3AJ5eI5OnqOPBNLWSHKh2a30DoXe8/edit?usp=sharing"",""สงขลา!I508"")"),0)</f>
        <v>0</v>
      </c>
      <c r="J613" s="204">
        <f ca="1">IFERROR(__xludf.DUMMYFUNCTION("IMPORTRANGE(""https://docs.google.com/spreadsheets/d/1IYY_tgx_IHuhSq3AJ5eI5OnqOPBNLWSHKh2a30DoXe8/edit?usp=sharing"",""สงขลา!J508"")"),303)</f>
        <v>303</v>
      </c>
      <c r="K613" s="167">
        <f t="shared" ca="1" si="127"/>
        <v>606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IFERROR(__xludf.DUMMYFUNCTION("IMPORTRANGE(""https://docs.google.com/spreadsheets/d/1IYY_tgx_IHuhSq3AJ5eI5OnqOPBNLWSHKh2a30DoXe8/edit?usp=sharing"",""สงขลา!I509"")"),0)</f>
        <v>0</v>
      </c>
      <c r="J614" s="204">
        <f ca="1">IFERROR(__xludf.DUMMYFUNCTION("IMPORTRANGE(""https://docs.google.com/spreadsheets/d/1IYY_tgx_IHuhSq3AJ5eI5OnqOPBNLWSHKh2a30DoXe8/edit?usp=sharing"",""สงขลา!J509"")"),303)</f>
        <v>303</v>
      </c>
      <c r="K614" s="167">
        <f t="shared" ca="1" si="127"/>
        <v>606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IFERROR(__xludf.DUMMYFUNCTION("IMPORTRANGE(""https://docs.google.com/spreadsheets/d/1IYY_tgx_IHuhSq3AJ5eI5OnqOPBNLWSHKh2a30DoXe8/edit?usp=sharing"",""สงขลา!I510"")"),0)</f>
        <v>0</v>
      </c>
      <c r="J615" s="204">
        <f ca="1">IFERROR(__xludf.DUMMYFUNCTION("IMPORTRANGE(""https://docs.google.com/spreadsheets/d/1IYY_tgx_IHuhSq3AJ5eI5OnqOPBNLWSHKh2a30DoXe8/edit?usp=sharing"",""สงขลา!J510"")"),303)</f>
        <v>303</v>
      </c>
      <c r="K615" s="167">
        <f t="shared" ca="1" si="127"/>
        <v>606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IFERROR(__xludf.DUMMYFUNCTION("IMPORTRANGE(""https://docs.google.com/spreadsheets/d/1IYY_tgx_IHuhSq3AJ5eI5OnqOPBNLWSHKh2a30DoXe8/edit?usp=sharing"",""สงขลา!I511"")"),0)</f>
        <v>0</v>
      </c>
      <c r="J616" s="204">
        <f ca="1">IFERROR(__xludf.DUMMYFUNCTION("IMPORTRANGE(""https://docs.google.com/spreadsheets/d/1IYY_tgx_IHuhSq3AJ5eI5OnqOPBNLWSHKh2a30DoXe8/edit?usp=sharing"",""สงขลา!J511"")"),0)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IFERROR(__xludf.DUMMYFUNCTION("IMPORTRANGE(""https://docs.google.com/spreadsheets/d/1IYY_tgx_IHuhSq3AJ5eI5OnqOPBNLWSHKh2a30DoXe8/edit?usp=sharing"",""สงขลา!I512"")"),0)</f>
        <v>0</v>
      </c>
      <c r="J617" s="194">
        <f ca="1">IFERROR(__xludf.DUMMYFUNCTION("IMPORTRANGE(""https://docs.google.com/spreadsheets/d/1IYY_tgx_IHuhSq3AJ5eI5OnqOPBNLWSHKh2a30DoXe8/edit?usp=sharing"",""สงขลา!J512"")"),0)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IFERROR(__xludf.DUMMYFUNCTION("IMPORTRANGE(""https://docs.google.com/spreadsheets/d/1IYY_tgx_IHuhSq3AJ5eI5OnqOPBNLWSHKh2a30DoXe8/edit?usp=sharing"",""สงขลา!I513"")"),0)</f>
        <v>0</v>
      </c>
      <c r="J618" s="195">
        <f ca="1">IFERROR(__xludf.DUMMYFUNCTION("IMPORTRANGE(""https://docs.google.com/spreadsheets/d/1IYY_tgx_IHuhSq3AJ5eI5OnqOPBNLWSHKh2a30DoXe8/edit?usp=sharing"",""สงขลา!J513"")"),0)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IFERROR(__xludf.DUMMYFUNCTION("IMPORTRANGE(""https://docs.google.com/spreadsheets/d/1IYY_tgx_IHuhSq3AJ5eI5OnqOPBNLWSHKh2a30DoXe8/edit?usp=sharing"",""สงขลา!I514"")"),0)</f>
        <v>0</v>
      </c>
      <c r="J619" s="195">
        <f ca="1">IFERROR(__xludf.DUMMYFUNCTION("IMPORTRANGE(""https://docs.google.com/spreadsheets/d/1IYY_tgx_IHuhSq3AJ5eI5OnqOPBNLWSHKh2a30DoXe8/edit?usp=sharing"",""สงขลา!J514"")"),0)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IFERROR(__xludf.DUMMYFUNCTION("IMPORTRANGE(""https://docs.google.com/spreadsheets/d/1IYY_tgx_IHuhSq3AJ5eI5OnqOPBNLWSHKh2a30DoXe8/edit?usp=sharing"",""สงขลา!I515"")"),48)</f>
        <v>48</v>
      </c>
      <c r="J620" s="209">
        <f ca="1">IFERROR(__xludf.DUMMYFUNCTION("IMPORTRANGE(""https://docs.google.com/spreadsheets/d/1IYY_tgx_IHuhSq3AJ5eI5OnqOPBNLWSHKh2a30DoXe8/edit?usp=sharing"",""สงขลา!J515"")"),0)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IFERROR(__xludf.DUMMYFUNCTION("IMPORTRANGE(""https://docs.google.com/spreadsheets/d/1IYY_tgx_IHuhSq3AJ5eI5OnqOPBNLWSHKh2a30DoXe8/edit?usp=sharing"",""สงขลา!I516"")"),0)</f>
        <v>0</v>
      </c>
      <c r="J621" s="209">
        <f ca="1">IFERROR(__xludf.DUMMYFUNCTION("IMPORTRANGE(""https://docs.google.com/spreadsheets/d/1IYY_tgx_IHuhSq3AJ5eI5OnqOPBNLWSHKh2a30DoXe8/edit?usp=sharing"",""สงขลา!J516"")"),0)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IFERROR(__xludf.DUMMYFUNCTION("IMPORTRANGE(""https://docs.google.com/spreadsheets/d/1IYY_tgx_IHuhSq3AJ5eI5OnqOPBNLWSHKh2a30DoXe8/edit?usp=sharing"",""สงขลา!I517"")"),0)</f>
        <v>0</v>
      </c>
      <c r="J622" s="195">
        <f ca="1">IFERROR(__xludf.DUMMYFUNCTION("IMPORTRANGE(""https://docs.google.com/spreadsheets/d/1IYY_tgx_IHuhSq3AJ5eI5OnqOPBNLWSHKh2a30DoXe8/edit?usp=sharing"",""สงขลา!J517"")"),0)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IFERROR(__xludf.DUMMYFUNCTION("IMPORTRANGE(""https://docs.google.com/spreadsheets/d/1IYY_tgx_IHuhSq3AJ5eI5OnqOPBNLWSHKh2a30DoXe8/edit?usp=sharing"",""สงขลา!I518"")"),0)</f>
        <v>0</v>
      </c>
      <c r="J623" s="195">
        <f ca="1">IFERROR(__xludf.DUMMYFUNCTION("IMPORTRANGE(""https://docs.google.com/spreadsheets/d/1IYY_tgx_IHuhSq3AJ5eI5OnqOPBNLWSHKh2a30DoXe8/edit?usp=sharing"",""สงขลา!J518"")"),0)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IFERROR(__xludf.DUMMYFUNCTION("IMPORTRANGE(""https://docs.google.com/spreadsheets/d/1IYY_tgx_IHuhSq3AJ5eI5OnqOPBNLWSHKh2a30DoXe8/edit?usp=sharing"",""สงขลา!I519"")"),0)</f>
        <v>0</v>
      </c>
      <c r="J624" s="194">
        <f ca="1">IFERROR(__xludf.DUMMYFUNCTION("IMPORTRANGE(""https://docs.google.com/spreadsheets/d/1IYY_tgx_IHuhSq3AJ5eI5OnqOPBNLWSHKh2a30DoXe8/edit?usp=sharing"",""สงขลา!J519"")"),0)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IFERROR(__xludf.DUMMYFUNCTION("IMPORTRANGE(""https://docs.google.com/spreadsheets/d/1IYY_tgx_IHuhSq3AJ5eI5OnqOPBNLWSHKh2a30DoXe8/edit?usp=sharing"",""สงขลา!I520"")"),0)</f>
        <v>0</v>
      </c>
      <c r="J625" s="195">
        <f ca="1">IFERROR(__xludf.DUMMYFUNCTION("IMPORTRANGE(""https://docs.google.com/spreadsheets/d/1IYY_tgx_IHuhSq3AJ5eI5OnqOPBNLWSHKh2a30DoXe8/edit?usp=sharing"",""สงขลา!J520"")"),0)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IFERROR(__xludf.DUMMYFUNCTION("IMPORTRANGE(""https://docs.google.com/spreadsheets/d/1IYY_tgx_IHuhSq3AJ5eI5OnqOPBNLWSHKh2a30DoXe8/edit?usp=sharing"",""สงขลา!I521"")"),0)</f>
        <v>0</v>
      </c>
      <c r="J626" s="195">
        <f ca="1">IFERROR(__xludf.DUMMYFUNCTION("IMPORTRANGE(""https://docs.google.com/spreadsheets/d/1IYY_tgx_IHuhSq3AJ5eI5OnqOPBNLWSHKh2a30DoXe8/edit?usp=sharing"",""สงขลา!J521"")"),0)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IFERROR(__xludf.DUMMYFUNCTION("IMPORTRANGE(""https://docs.google.com/spreadsheets/d/1IYY_tgx_IHuhSq3AJ5eI5OnqOPBNLWSHKh2a30DoXe8/edit?usp=sharing"",""สงขลา!I523"")"),3312075.76)</f>
        <v>3312075.76</v>
      </c>
      <c r="J628" s="347">
        <f ca="1">IFERROR(__xludf.DUMMYFUNCTION("IMPORTRANGE(""https://docs.google.com/spreadsheets/d/1IYY_tgx_IHuhSq3AJ5eI5OnqOPBNLWSHKh2a30DoXe8/edit?usp=sharing"",""สงขลา!J523"")"),2626422.79)</f>
        <v>2626422.79</v>
      </c>
      <c r="K628" s="348">
        <f t="shared" ref="K628:K635" ca="1" si="129">IF(I628&gt;0,J628*100/I628,0)</f>
        <v>79.298391109266177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IFERROR(__xludf.DUMMYFUNCTION("IMPORTRANGE(""https://docs.google.com/spreadsheets/d/1IYY_tgx_IHuhSq3AJ5eI5OnqOPBNLWSHKh2a30DoXe8/edit?usp=sharing"",""สงขลา!I524"")"),265)</f>
        <v>265</v>
      </c>
      <c r="J629" s="347">
        <f ca="1">IFERROR(__xludf.DUMMYFUNCTION("IMPORTRANGE(""https://docs.google.com/spreadsheets/d/1IYY_tgx_IHuhSq3AJ5eI5OnqOPBNLWSHKh2a30DoXe8/edit?usp=sharing"",""สงขลา!J524"")"),236)</f>
        <v>236</v>
      </c>
      <c r="K629" s="348">
        <f t="shared" ca="1" si="129"/>
        <v>89.056603773584911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IFERROR(__xludf.DUMMYFUNCTION("IMPORTRANGE(""https://docs.google.com/spreadsheets/d/1IYY_tgx_IHuhSq3AJ5eI5OnqOPBNLWSHKh2a30DoXe8/edit?usp=sharing"",""สงขลา!I525"")"),927206.85)</f>
        <v>927206.85</v>
      </c>
      <c r="J630" s="347">
        <f ca="1">IFERROR(__xludf.DUMMYFUNCTION("IMPORTRANGE(""https://docs.google.com/spreadsheets/d/1IYY_tgx_IHuhSq3AJ5eI5OnqOPBNLWSHKh2a30DoXe8/edit?usp=sharing"",""สงขลา!J525"")"),287664.67)</f>
        <v>287664.67</v>
      </c>
      <c r="K630" s="348">
        <f t="shared" ca="1" si="129"/>
        <v>31.024864624328433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IFERROR(__xludf.DUMMYFUNCTION("IMPORTRANGE(""https://docs.google.com/spreadsheets/d/1IYY_tgx_IHuhSq3AJ5eI5OnqOPBNLWSHKh2a30DoXe8/edit?usp=sharing"",""สงขลา!J526"")"),44)</f>
        <v>44</v>
      </c>
      <c r="K631" s="348">
        <f t="shared" ca="1" si="129"/>
        <v>104.76190476190476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IFERROR(__xludf.DUMMYFUNCTION("IMPORTRANGE(""https://docs.google.com/spreadsheets/d/1IYY_tgx_IHuhSq3AJ5eI5OnqOPBNLWSHKh2a30DoXe8/edit?usp=sharing"",""สงขลา!I529"")"),1800000)</f>
        <v>1800000</v>
      </c>
      <c r="J634" s="347">
        <f ca="1">IFERROR(__xludf.DUMMYFUNCTION("IMPORTRANGE(""https://docs.google.com/spreadsheets/d/1IYY_tgx_IHuhSq3AJ5eI5OnqOPBNLWSHKh2a30DoXe8/edit?usp=sharing"",""สงขลา!J529"")"),1800000)</f>
        <v>1800000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IFERROR(__xludf.DUMMYFUNCTION("IMPORTRANGE(""https://docs.google.com/spreadsheets/d/1IYY_tgx_IHuhSq3AJ5eI5OnqOPBNLWSHKh2a30DoXe8/edit?usp=sharing"",""สงขลา!I530"")"),36)</f>
        <v>36</v>
      </c>
      <c r="J635" s="518">
        <f ca="1">IFERROR(__xludf.DUMMYFUNCTION("IMPORTRANGE(""https://docs.google.com/spreadsheets/d/1IYY_tgx_IHuhSq3AJ5eI5OnqOPBNLWSHKh2a30DoXe8/edit?usp=sharing"",""สงขลา!J530"")"),40)</f>
        <v>40</v>
      </c>
      <c r="K635" s="493">
        <f t="shared" ca="1" si="129"/>
        <v>111.11111111111111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IFERROR(__xludf.DUMMYFUNCTION("IMPORTRANGE(""https://docs.google.com/spreadsheets/d/1IYY_tgx_IHuhSq3AJ5eI5OnqOPBNLWSHKh2a30DoXe8/edit?usp=sharing"",""สงขลา!J541"")"),0)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IFERROR(__xludf.DUMMYFUNCTION("IMPORTRANGE(""https://docs.google.com/spreadsheets/d/1IYY_tgx_IHuhSq3AJ5eI5OnqOPBNLWSHKh2a30DoXe8/edit?usp=sharing"",""สงขลา!J542"")"),0)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IFERROR(__xludf.DUMMYFUNCTION("IMPORTRANGE(""https://docs.google.com/spreadsheets/d/1IYY_tgx_IHuhSq3AJ5eI5OnqOPBNLWSHKh2a30DoXe8/edit?usp=sharing"",""สงขลา!I543"")"),0)</f>
        <v>0</v>
      </c>
      <c r="J648" s="547">
        <f ca="1">IFERROR(__xludf.DUMMYFUNCTION("IMPORTRANGE(""https://docs.google.com/spreadsheets/d/1IYY_tgx_IHuhSq3AJ5eI5OnqOPBNLWSHKh2a30DoXe8/edit?usp=sharing"",""สงขลา!J543"")"),0)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IFERROR(__xludf.DUMMYFUNCTION("IMPORTRANGE(""https://docs.google.com/spreadsheets/d/1IYY_tgx_IHuhSq3AJ5eI5OnqOPBNLWSHKh2a30DoXe8/edit?usp=sharing"",""สงขลา!L543"")"),0)</f>
        <v>0</v>
      </c>
      <c r="M648" s="534"/>
      <c r="N648" s="549">
        <f ca="1">IFERROR(__xludf.DUMMYFUNCTION("IMPORTRANGE(""https://docs.google.com/spreadsheets/d/1IYY_tgx_IHuhSq3AJ5eI5OnqOPBNLWSHKh2a30DoXe8/edit?usp=sharing"",""สงขลา!M543"")"),0)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IFERROR(__xludf.DUMMYFUNCTION("IMPORTRANGE(""https://docs.google.com/spreadsheets/d/1IYY_tgx_IHuhSq3AJ5eI5OnqOPBNLWSHKh2a30DoXe8/edit?usp=sharing"",""สงขลา!I544"")"),0)</f>
        <v>0</v>
      </c>
      <c r="J649" s="547">
        <f ca="1">IFERROR(__xludf.DUMMYFUNCTION("IMPORTRANGE(""https://docs.google.com/spreadsheets/d/1IYY_tgx_IHuhSq3AJ5eI5OnqOPBNLWSHKh2a30DoXe8/edit?usp=sharing"",""สงขลา!J544"")"),0)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IFERROR(__xludf.DUMMYFUNCTION("IMPORTRANGE(""https://docs.google.com/spreadsheets/d/1IYY_tgx_IHuhSq3AJ5eI5OnqOPBNLWSHKh2a30DoXe8/edit?usp=sharing"",""สงขลา!L544"")"),0)</f>
        <v>0</v>
      </c>
      <c r="M649" s="534"/>
      <c r="N649" s="549">
        <f ca="1">IFERROR(__xludf.DUMMYFUNCTION("IMPORTRANGE(""https://docs.google.com/spreadsheets/d/1IYY_tgx_IHuhSq3AJ5eI5OnqOPBNLWSHKh2a30DoXe8/edit?usp=sharing"",""สงขลา!M544"")"),0)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IFERROR(__xludf.DUMMYFUNCTION("IMPORTRANGE(""https://docs.google.com/spreadsheets/d/1IYY_tgx_IHuhSq3AJ5eI5OnqOPBNLWSHKh2a30DoXe8/edit?usp=sharing"",""สงขลา!I545"")"),0)</f>
        <v>0</v>
      </c>
      <c r="J650" s="547">
        <f ca="1">IFERROR(__xludf.DUMMYFUNCTION("IMPORTRANGE(""https://docs.google.com/spreadsheets/d/1IYY_tgx_IHuhSq3AJ5eI5OnqOPBNLWSHKh2a30DoXe8/edit?usp=sharing"",""สงขลา!J545"")"),0)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IFERROR(__xludf.DUMMYFUNCTION("IMPORTRANGE(""https://docs.google.com/spreadsheets/d/1IYY_tgx_IHuhSq3AJ5eI5OnqOPBNLWSHKh2a30DoXe8/edit?usp=sharing"",""สงขลา!L545"")"),0)</f>
        <v>0</v>
      </c>
      <c r="M650" s="534"/>
      <c r="N650" s="549">
        <f ca="1">IFERROR(__xludf.DUMMYFUNCTION("IMPORTRANGE(""https://docs.google.com/spreadsheets/d/1IYY_tgx_IHuhSq3AJ5eI5OnqOPBNLWSHKh2a30DoXe8/edit?usp=sharing"",""สงขลา!M545"")"),0)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IFERROR(__xludf.DUMMYFUNCTION("IMPORTRANGE(""https://docs.google.com/spreadsheets/d/1IYY_tgx_IHuhSq3AJ5eI5OnqOPBNLWSHKh2a30DoXe8/edit?usp=sharing"",""สงขลา!I546"")"),0)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IFERROR(__xludf.DUMMYFUNCTION("IMPORTRANGE(""https://docs.google.com/spreadsheets/d/1IYY_tgx_IHuhSq3AJ5eI5OnqOPBNLWSHKh2a30DoXe8/edit?usp=sharing"",""สงขลา!L546"")"),0)</f>
        <v>0</v>
      </c>
      <c r="M651" s="534"/>
      <c r="N651" s="549">
        <f ca="1">IFERROR(__xludf.DUMMYFUNCTION("IMPORTRANGE(""https://docs.google.com/spreadsheets/d/1IYY_tgx_IHuhSq3AJ5eI5OnqOPBNLWSHKh2a30DoXe8/edit?usp=sharing"",""สงขลา!M546"")"),0)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IFERROR(__xludf.DUMMYFUNCTION("IMPORTRANGE(""https://docs.google.com/spreadsheets/d/1IYY_tgx_IHuhSq3AJ5eI5OnqOPBNLWSHKh2a30DoXe8/edit?usp=sharing"",""สงขลา!J547"")"),0)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IFERROR(__xludf.DUMMYFUNCTION("IMPORTRANGE(""https://docs.google.com/spreadsheets/d/1IYY_tgx_IHuhSq3AJ5eI5OnqOPBNLWSHKh2a30DoXe8/edit?usp=sharing"",""สงขลา!J548"")"),0)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IFERROR(__xludf.DUMMYFUNCTION("IMPORTRANGE(""https://docs.google.com/spreadsheets/d/1IYY_tgx_IHuhSq3AJ5eI5OnqOPBNLWSHKh2a30DoXe8/edit?usp=sharing"",""สงขลา!J550"")"),0)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IFERROR(__xludf.DUMMYFUNCTION("IMPORTRANGE(""https://docs.google.com/spreadsheets/d/1IYY_tgx_IHuhSq3AJ5eI5OnqOPBNLWSHKh2a30DoXe8/edit?usp=sharing"",""สงขลา!J551"")"),0)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IFERROR(__xludf.DUMMYFUNCTION("IMPORTRANGE(""https://docs.google.com/spreadsheets/d/1IYY_tgx_IHuhSq3AJ5eI5OnqOPBNLWSHKh2a30DoXe8/edit?usp=sharing"",""สงขลา!J552"")"),0)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IFERROR(__xludf.DUMMYFUNCTION("IMPORTRANGE(""https://docs.google.com/spreadsheets/d/1IYY_tgx_IHuhSq3AJ5eI5OnqOPBNLWSHKh2a30DoXe8/edit?usp=sharing"",""สงขลา!J553"")"),0)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IFERROR(__xludf.DUMMYFUNCTION("IMPORTRANGE(""https://docs.google.com/spreadsheets/d/1IYY_tgx_IHuhSq3AJ5eI5OnqOPBNLWSHKh2a30DoXe8/edit?usp=sharing"",""สงขลา!J554"")"),0)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IFERROR(__xludf.DUMMYFUNCTION("IMPORTRANGE(""https://docs.google.com/spreadsheets/d/1IYY_tgx_IHuhSq3AJ5eI5OnqOPBNLWSHKh2a30DoXe8/edit?usp=sharing"",""สงขลา!J555"")"),0)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IFERROR(__xludf.DUMMYFUNCTION("IMPORTRANGE(""https://docs.google.com/spreadsheets/d/1IYY_tgx_IHuhSq3AJ5eI5OnqOPBNLWSHKh2a30DoXe8/edit?usp=sharing"",""สงขลา!J556"")"),0)</f>
        <v>0</v>
      </c>
      <c r="K661" s="548"/>
      <c r="L661" s="535">
        <f ca="1">IFERROR(__xludf.DUMMYFUNCTION("IMPORTRANGE(""https://docs.google.com/spreadsheets/d/1IYY_tgx_IHuhSq3AJ5eI5OnqOPBNLWSHKh2a30DoXe8/edit?usp=sharing"",""สงขลา!L556"")"),0)</f>
        <v>0</v>
      </c>
      <c r="M661" s="534"/>
      <c r="N661" s="549">
        <f ca="1">IFERROR(__xludf.DUMMYFUNCTION("IMPORTRANGE(""https://docs.google.com/spreadsheets/d/1IYY_tgx_IHuhSq3AJ5eI5OnqOPBNLWSHKh2a30DoXe8/edit?usp=sharing"",""สงขลา!M556"")"),0)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IFERROR(__xludf.DUMMYFUNCTION("IMPORTRANGE(""https://docs.google.com/spreadsheets/d/1IYY_tgx_IHuhSq3AJ5eI5OnqOPBNLWSHKh2a30DoXe8/edit?usp=sharing"",""สงขลา!J557"")"),0)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IFERROR(__xludf.DUMMYFUNCTION("IMPORTRANGE(""https://docs.google.com/spreadsheets/d/1IYY_tgx_IHuhSq3AJ5eI5OnqOPBNLWSHKh2a30DoXe8/edit?usp=sharing"",""สงขลา!I558"")"),0)</f>
        <v>0</v>
      </c>
      <c r="J663" s="547">
        <f ca="1">IFERROR(__xludf.DUMMYFUNCTION("IMPORTRANGE(""https://docs.google.com/spreadsheets/d/1IYY_tgx_IHuhSq3AJ5eI5OnqOPBNLWSHKh2a30DoXe8/edit?usp=sharing"",""สงขลา!J558"")"),0)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IFERROR(__xludf.DUMMYFUNCTION("IMPORTRANGE(""https://docs.google.com/spreadsheets/d/1IYY_tgx_IHuhSq3AJ5eI5OnqOPBNLWSHKh2a30DoXe8/edit?usp=sharing"",""สงขลา!I560"")"),0)</f>
        <v>0</v>
      </c>
      <c r="J665" s="547">
        <f ca="1">IFERROR(__xludf.DUMMYFUNCTION("IMPORTRANGE(""https://docs.google.com/spreadsheets/d/1IYY_tgx_IHuhSq3AJ5eI5OnqOPBNLWSHKh2a30DoXe8/edit?usp=sharing"",""สงขลา!J560"")"),0)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IFERROR(__xludf.DUMMYFUNCTION("IMPORTRANGE(""https://docs.google.com/spreadsheets/d/1IYY_tgx_IHuhSq3AJ5eI5OnqOPBNLWSHKh2a30DoXe8/edit?usp=sharing"",""สงขลา!L560"")"),0)</f>
        <v>0</v>
      </c>
      <c r="M665" s="534"/>
      <c r="N665" s="549">
        <f ca="1">IFERROR(__xludf.DUMMYFUNCTION("IMPORTRANGE(""https://docs.google.com/spreadsheets/d/1IYY_tgx_IHuhSq3AJ5eI5OnqOPBNLWSHKh2a30DoXe8/edit?usp=sharing"",""สงขลา!M560"")"),0)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IFERROR(__xludf.DUMMYFUNCTION("IMPORTRANGE(""https://docs.google.com/spreadsheets/d/1IYY_tgx_IHuhSq3AJ5eI5OnqOPBNLWSHKh2a30DoXe8/edit?usp=sharing"",""สงขลา!J561"")"),0)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IFERROR(__xludf.DUMMYFUNCTION("IMPORTRANGE(""https://docs.google.com/spreadsheets/d/1IYY_tgx_IHuhSq3AJ5eI5OnqOPBNLWSHKh2a30DoXe8/edit?usp=sharing"",""สงขลา!J562"")"),0)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IFERROR(__xludf.DUMMYFUNCTION("IMPORTRANGE(""https://docs.google.com/spreadsheets/d/1IYY_tgx_IHuhSq3AJ5eI5OnqOPBNLWSHKh2a30DoXe8/edit?usp=sharing"",""สงขลา!I563"")"),0)</f>
        <v>0</v>
      </c>
      <c r="J668" s="547">
        <f ca="1">IFERROR(__xludf.DUMMYFUNCTION("IMPORTRANGE(""https://docs.google.com/spreadsheets/d/1IYY_tgx_IHuhSq3AJ5eI5OnqOPBNLWSHKh2a30DoXe8/edit?usp=sharing"",""สงขลา!J563"")"),0)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IFERROR(__xludf.DUMMYFUNCTION("IMPORTRANGE(""https://docs.google.com/spreadsheets/d/1IYY_tgx_IHuhSq3AJ5eI5OnqOPBNLWSHKh2a30DoXe8/edit?usp=sharing"",""สงขลา!L563"")"),0)</f>
        <v>0</v>
      </c>
      <c r="M668" s="534"/>
      <c r="N668" s="549">
        <f ca="1">IFERROR(__xludf.DUMMYFUNCTION("IMPORTRANGE(""https://docs.google.com/spreadsheets/d/1IYY_tgx_IHuhSq3AJ5eI5OnqOPBNLWSHKh2a30DoXe8/edit?usp=sharing"",""สงขลา!M563"")"),0)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IFERROR(__xludf.DUMMYFUNCTION("IMPORTRANGE(""https://docs.google.com/spreadsheets/d/1IYY_tgx_IHuhSq3AJ5eI5OnqOPBNLWSHKh2a30DoXe8/edit?usp=sharing"",""สงขลา!J564"")"),0)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IFERROR(__xludf.DUMMYFUNCTION("IMPORTRANGE(""https://docs.google.com/spreadsheets/d/1IYY_tgx_IHuhSq3AJ5eI5OnqOPBNLWSHKh2a30DoXe8/edit?usp=sharing"",""สงขลา!J565"")"),0)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IFERROR(__xludf.DUMMYFUNCTION("IMPORTRANGE(""https://docs.google.com/spreadsheets/d/1IYY_tgx_IHuhSq3AJ5eI5OnqOPBNLWSHKh2a30DoXe8/edit?usp=sharing"",""สงขลา!I566"")"),0)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IFERROR(__xludf.DUMMYFUNCTION("IMPORTRANGE(""https://docs.google.com/spreadsheets/d/1IYY_tgx_IHuhSq3AJ5eI5OnqOPBNLWSHKh2a30DoXe8/edit?usp=sharing"",""สงขลา!L566"")"),0)</f>
        <v>0</v>
      </c>
      <c r="M671" s="534"/>
      <c r="N671" s="549">
        <f ca="1">IFERROR(__xludf.DUMMYFUNCTION("IMPORTRANGE(""https://docs.google.com/spreadsheets/d/1IYY_tgx_IHuhSq3AJ5eI5OnqOPBNLWSHKh2a30DoXe8/edit?usp=sharing"",""สงขลา!M566"")"),0)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IFERROR(__xludf.DUMMYFUNCTION("IMPORTRANGE(""https://docs.google.com/spreadsheets/d/1IYY_tgx_IHuhSq3AJ5eI5OnqOPBNLWSHKh2a30DoXe8/edit?usp=sharing"",""สงขลา!J567"")"),0)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IFERROR(__xludf.DUMMYFUNCTION("IMPORTRANGE(""https://docs.google.com/spreadsheets/d/1IYY_tgx_IHuhSq3AJ5eI5OnqOPBNLWSHKh2a30DoXe8/edit?usp=sharing"",""สงขลา!J568"")"),0)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IFERROR(__xludf.DUMMYFUNCTION("IMPORTRANGE(""https://docs.google.com/spreadsheets/d/1IYY_tgx_IHuhSq3AJ5eI5OnqOPBNLWSHKh2a30DoXe8/edit?usp=sharing"",""สงขลา!J569"")"),0)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IFERROR(__xludf.DUMMYFUNCTION("IMPORTRANGE(""https://docs.google.com/spreadsheets/d/1IYY_tgx_IHuhSq3AJ5eI5OnqOPBNLWSHKh2a30DoXe8/edit?usp=sharing"",""สงขลา!J570"")"),0)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IFERROR(__xludf.DUMMYFUNCTION("IMPORTRANGE(""https://docs.google.com/spreadsheets/d/1IYY_tgx_IHuhSq3AJ5eI5OnqOPBNLWSHKh2a30DoXe8/edit?usp=sharing"",""สงขลา!J571"")"),0)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IFERROR(__xludf.DUMMYFUNCTION("IMPORTRANGE(""https://docs.google.com/spreadsheets/d/1IYY_tgx_IHuhSq3AJ5eI5OnqOPBNLWSHKh2a30DoXe8/edit?usp=sharing"",""สงขลา!J572"")"),0)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286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2428286</v>
      </c>
      <c r="M8" s="23">
        <f t="shared" ca="1" si="0"/>
        <v>1974222</v>
      </c>
      <c r="N8" s="23">
        <f t="shared" ca="1" si="0"/>
        <v>1917634.44</v>
      </c>
      <c r="O8" s="22">
        <f t="shared" ref="O8:O16" ca="1" si="1">IF(L8&gt;0,N8*100/L8,0)</f>
        <v>78.970699497505649</v>
      </c>
      <c r="P8" s="22">
        <f t="shared" ref="P8:P16" ca="1" si="2">IF(M8&gt;0,N8*100/M8,0)</f>
        <v>97.133677975425258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2428286</v>
      </c>
      <c r="M10" s="30">
        <f t="shared" ca="1" si="4"/>
        <v>1974222</v>
      </c>
      <c r="N10" s="30">
        <f t="shared" ca="1" si="4"/>
        <v>1917634.44</v>
      </c>
      <c r="O10" s="29">
        <f t="shared" ca="1" si="1"/>
        <v>78.970699497505649</v>
      </c>
      <c r="P10" s="29">
        <f t="shared" ca="1" si="2"/>
        <v>97.133677975425258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2259286</v>
      </c>
      <c r="M12" s="38">
        <f t="shared" ca="1" si="6"/>
        <v>1805222</v>
      </c>
      <c r="N12" s="38">
        <f t="shared" ca="1" si="6"/>
        <v>1748634.44</v>
      </c>
      <c r="O12" s="38">
        <f t="shared" ca="1" si="1"/>
        <v>77.397657490021189</v>
      </c>
      <c r="P12" s="38">
        <f t="shared" ca="1" si="2"/>
        <v>96.865340661702547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1344600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914686</v>
      </c>
      <c r="M14" s="38">
        <f t="shared" si="8"/>
        <v>0</v>
      </c>
      <c r="N14" s="38">
        <f t="shared" ca="1" si="8"/>
        <v>389518.36</v>
      </c>
      <c r="O14" s="41">
        <f t="shared" ca="1" si="1"/>
        <v>42.584926411905286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1926810</v>
      </c>
      <c r="M18" s="23">
        <f t="shared" ca="1" si="11"/>
        <v>1974222</v>
      </c>
      <c r="N18" s="23">
        <f t="shared" ca="1" si="11"/>
        <v>1528116.08</v>
      </c>
      <c r="O18" s="22">
        <f t="shared" ref="O18:O20" ca="1" si="12">IF(L18&gt;0,N18*100/L18,0)</f>
        <v>79.308083308681191</v>
      </c>
      <c r="P18" s="22">
        <f t="shared" ref="P18:P26" ca="1" si="13">IF(M18&gt;0,N18*100/M18,0)</f>
        <v>77.403457159326564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1926810</v>
      </c>
      <c r="M20" s="30">
        <f t="shared" ca="1" si="15"/>
        <v>1974222</v>
      </c>
      <c r="N20" s="30">
        <f t="shared" ca="1" si="15"/>
        <v>1528116.08</v>
      </c>
      <c r="O20" s="29">
        <f t="shared" ca="1" si="12"/>
        <v>79.308083308681191</v>
      </c>
      <c r="P20" s="29">
        <f t="shared" ca="1" si="13"/>
        <v>77.403457159326564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1757810</v>
      </c>
      <c r="M22" s="42">
        <f t="shared" ca="1" si="18"/>
        <v>1805222</v>
      </c>
      <c r="N22" s="41">
        <f t="shared" ca="1" si="18"/>
        <v>1359116.08</v>
      </c>
      <c r="O22" s="41">
        <f t="shared" ca="1" si="17"/>
        <v>77.318713626614937</v>
      </c>
      <c r="P22" s="41">
        <f t="shared" ca="1" si="13"/>
        <v>75.288029948671138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1344600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413210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501476</v>
      </c>
      <c r="M28" s="23">
        <f t="shared" si="23"/>
        <v>0</v>
      </c>
      <c r="N28" s="23">
        <f t="shared" ca="1" si="23"/>
        <v>389518.36</v>
      </c>
      <c r="O28" s="22">
        <f t="shared" ref="O28:O30" ca="1" si="24">IF(L28&gt;0,N28*100/L28,0)</f>
        <v>77.674377238392267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501476</v>
      </c>
      <c r="M30" s="30">
        <f t="shared" si="27"/>
        <v>0</v>
      </c>
      <c r="N30" s="30">
        <f t="shared" ca="1" si="27"/>
        <v>389518.36</v>
      </c>
      <c r="O30" s="29">
        <f t="shared" ca="1" si="24"/>
        <v>77.674377238392267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501476</v>
      </c>
      <c r="M32" s="41">
        <f t="shared" si="30"/>
        <v>0</v>
      </c>
      <c r="N32" s="41">
        <f t="shared" ca="1" si="30"/>
        <v>389518.36</v>
      </c>
      <c r="O32" s="41">
        <f t="shared" ca="1" si="29"/>
        <v>77.674377238392267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501476</v>
      </c>
      <c r="M34" s="41">
        <f t="shared" si="32"/>
        <v>0</v>
      </c>
      <c r="N34" s="41">
        <f t="shared" ca="1" si="32"/>
        <v>389518.36</v>
      </c>
      <c r="O34" s="41">
        <f t="shared" ca="1" si="29"/>
        <v>77.674377238392267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1926810</v>
      </c>
      <c r="M37" s="55">
        <f t="shared" ca="1" si="33"/>
        <v>1974222</v>
      </c>
      <c r="N37" s="55">
        <f t="shared" ca="1" si="33"/>
        <v>1528116.08</v>
      </c>
      <c r="O37" s="56">
        <f t="shared" ca="1" si="29"/>
        <v>79.308083308681191</v>
      </c>
      <c r="P37" s="56">
        <f t="shared" ca="1" si="25"/>
        <v>77.403457159326564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306800</v>
      </c>
      <c r="N41" s="79">
        <f t="shared" ca="1" si="34"/>
        <v>228481.17</v>
      </c>
      <c r="O41" s="78">
        <f t="shared" ref="O41:O43" ca="1" si="35">IF(L41&gt;0,N41*100/L41,0)</f>
        <v>74.472350065189048</v>
      </c>
      <c r="P41" s="78">
        <f t="shared" ref="P41:P43" ca="1" si="36">IF(M41&gt;0,N41*100/M41,0)</f>
        <v>74.472350065189048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306800</v>
      </c>
      <c r="N43" s="79">
        <f t="shared" ca="1" si="38"/>
        <v>228481.17</v>
      </c>
      <c r="O43" s="78">
        <f t="shared" ca="1" si="35"/>
        <v>74.472350065189048</v>
      </c>
      <c r="P43" s="78">
        <f t="shared" ca="1" si="36"/>
        <v>74.472350065189048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306800</v>
      </c>
      <c r="M45" s="91">
        <f ca="1">IFERROR(__xludf.DUMMYFUNCTION("IMPORTRANGE(""https://docs.google.com/spreadsheets/d/1Yj_ptqi66GCucihVvJfMjLAmec39IyEx_6qawtMGysU/edit?usp=sharing"",""สบก!Q93"")"),306800)</f>
        <v>306800</v>
      </c>
      <c r="N45" s="91">
        <f ca="1">IFERROR(__xludf.DUMMYFUNCTION("IMPORTRANGE(""https://docs.google.com/spreadsheets/d/1Yj_ptqi66GCucihVvJfMjLAmec39IyEx_6qawtMGysU/edit?usp=sharing"",""สบก!R93"")"),228481.17)</f>
        <v>228481.17</v>
      </c>
      <c r="O45" s="92">
        <f ca="1">IF(L45&gt;0,N45*100/L45,0)</f>
        <v>74.472350065189048</v>
      </c>
      <c r="P45" s="92">
        <f ca="1">IF(M45&gt;0,N45*100/M45,0)</f>
        <v>74.472350065189048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375000</v>
      </c>
      <c r="M53" s="125">
        <f t="shared" ca="1" si="39"/>
        <v>340212</v>
      </c>
      <c r="N53" s="125">
        <f t="shared" ca="1" si="39"/>
        <v>273712</v>
      </c>
      <c r="O53" s="124">
        <f t="shared" ref="O53:O55" ca="1" si="40">IF(L53&gt;0,N53*100/L53,0)</f>
        <v>72.989866666666671</v>
      </c>
      <c r="P53" s="124">
        <f t="shared" ref="P53:P55" ca="1" si="41">IF(M53&gt;0,N53*100/M53,0)</f>
        <v>80.453364372802838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375000</v>
      </c>
      <c r="M55" s="125">
        <f t="shared" ca="1" si="43"/>
        <v>340212</v>
      </c>
      <c r="N55" s="125">
        <f t="shared" ca="1" si="43"/>
        <v>273712</v>
      </c>
      <c r="O55" s="124">
        <f t="shared" ca="1" si="40"/>
        <v>72.989866666666671</v>
      </c>
      <c r="P55" s="124">
        <f t="shared" ca="1" si="41"/>
        <v>80.453364372802838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375000</v>
      </c>
      <c r="M57" s="91">
        <f ca="1">IFERROR(__xludf.DUMMYFUNCTION("IMPORTRANGE(""https://docs.google.com/spreadsheets/d/1Yj_ptqi66GCucihVvJfMjLAmec39IyEx_6qawtMGysU/edit?usp=sharing"",""สบก!Z93"")"),340212)</f>
        <v>340212</v>
      </c>
      <c r="N57" s="91">
        <f ca="1">IFERROR(__xludf.DUMMYFUNCTION("IMPORTRANGE(""https://docs.google.com/spreadsheets/d/1Yj_ptqi66GCucihVvJfMjLAmec39IyEx_6qawtMGysU/edit?usp=sharing"",""สบก!AA93"")"),273712)</f>
        <v>273712</v>
      </c>
      <c r="O57" s="92">
        <f ca="1">IF(L57&gt;0,N57*100/L57,0)</f>
        <v>72.989866666666671</v>
      </c>
      <c r="P57" s="92">
        <f ca="1">IF(M57&gt;0,N57*100/M57,0)</f>
        <v>80.453364372802838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IFERROR(__xludf.DUMMYFUNCTION("IMPORTRANGE(""https://docs.google.com/spreadsheets/d/1Yj_ptqi66GCucihVvJfMjLAmec39IyEx_6qawtMGysU/edit?usp=sharing"",""สบก!V93"")"),375000)</f>
        <v>375000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IFERROR(__xludf.DUMMYFUNCTION("IMPORTRANGE(""https://docs.google.com/spreadsheets/d/1Yj_ptqi66GCucihVvJfMjLAmec39IyEx_6qawtMGysU/edit?usp=sharing"",""สบก!AI93"")"),0)</f>
        <v>0</v>
      </c>
      <c r="N70" s="174">
        <f ca="1">IFERROR(__xludf.DUMMYFUNCTION("IMPORTRANGE(""https://docs.google.com/spreadsheets/d/1Yj_ptqi66GCucihVvJfMjLAmec39IyEx_6qawtMGysU/edit?usp=sharing"",""สบก!AJ93"")"),0)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IFERROR(__xludf.DUMMYFUNCTION("IMPORTRANGE(""https://docs.google.com/spreadsheets/d/1IYY_tgx_IHuhSq3AJ5eI5OnqOPBNLWSHKh2a30DoXe8/edit?usp=sharing"",""สตูล!J16"")"),0)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IFERROR(__xludf.DUMMYFUNCTION("IMPORTRANGE(""https://docs.google.com/spreadsheets/d/1IYY_tgx_IHuhSq3AJ5eI5OnqOPBNLWSHKh2a30DoXe8/edit?usp=sharing"",""สตูล!J17"")"),0)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IFERROR(__xludf.DUMMYFUNCTION("IMPORTRANGE(""https://docs.google.com/spreadsheets/d/1IYY_tgx_IHuhSq3AJ5eI5OnqOPBNLWSHKh2a30DoXe8/edit?usp=sharing"",""สตูล!J18"")"),0)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IFERROR(__xludf.DUMMYFUNCTION("IMPORTRANGE(""https://docs.google.com/spreadsheets/d/1IYY_tgx_IHuhSq3AJ5eI5OnqOPBNLWSHKh2a30DoXe8/edit?usp=sharing"",""สตูล!J19"")"),0)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IFERROR(__xludf.DUMMYFUNCTION("IMPORTRANGE(""https://docs.google.com/spreadsheets/d/1IYY_tgx_IHuhSq3AJ5eI5OnqOPBNLWSHKh2a30DoXe8/edit?usp=sharing"",""สตูล!I20"")"),0)</f>
        <v>0</v>
      </c>
      <c r="J80" s="207">
        <f ca="1">IFERROR(__xludf.DUMMYFUNCTION("IMPORTRANGE(""https://docs.google.com/spreadsheets/d/1IYY_tgx_IHuhSq3AJ5eI5OnqOPBNLWSHKh2a30DoXe8/edit?usp=sharing"",""สตูล!J20"")"),0)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IFERROR(__xludf.DUMMYFUNCTION("IMPORTRANGE(""https://docs.google.com/spreadsheets/d/1IYY_tgx_IHuhSq3AJ5eI5OnqOPBNLWSHKh2a30DoXe8/edit?usp=sharing"",""สตูล!I21"")"),0)</f>
        <v>0</v>
      </c>
      <c r="J81" s="207">
        <f ca="1">IFERROR(__xludf.DUMMYFUNCTION("IMPORTRANGE(""https://docs.google.com/spreadsheets/d/1IYY_tgx_IHuhSq3AJ5eI5OnqOPBNLWSHKh2a30DoXe8/edit?usp=sharing"",""สตูล!J21"")"),0)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IFERROR(__xludf.DUMMYFUNCTION("IMPORTRANGE(""https://docs.google.com/spreadsheets/d/1IYY_tgx_IHuhSq3AJ5eI5OnqOPBNLWSHKh2a30DoXe8/edit?usp=sharing"",""สตูล!I22"")"),0)</f>
        <v>0</v>
      </c>
      <c r="J82" s="210">
        <f ca="1">IFERROR(__xludf.DUMMYFUNCTION("IMPORTRANGE(""https://docs.google.com/spreadsheets/d/1IYY_tgx_IHuhSq3AJ5eI5OnqOPBNLWSHKh2a30DoXe8/edit?usp=sharing"",""สตูล!J22"")"),0)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IFERROR(__xludf.DUMMYFUNCTION("IMPORTRANGE(""https://docs.google.com/spreadsheets/d/1IYY_tgx_IHuhSq3AJ5eI5OnqOPBNLWSHKh2a30DoXe8/edit?usp=sharing"",""สตูล!I23"")"),0)</f>
        <v>0</v>
      </c>
      <c r="J83" s="210">
        <f ca="1">IFERROR(__xludf.DUMMYFUNCTION("IMPORTRANGE(""https://docs.google.com/spreadsheets/d/1IYY_tgx_IHuhSq3AJ5eI5OnqOPBNLWSHKh2a30DoXe8/edit?usp=sharing"",""สตูล!J23"")"),0)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IFERROR(__xludf.DUMMYFUNCTION("IMPORTRANGE(""https://docs.google.com/spreadsheets/d/1IYY_tgx_IHuhSq3AJ5eI5OnqOPBNLWSHKh2a30DoXe8/edit?usp=sharing"",""สตูล!I24"")"),0)</f>
        <v>0</v>
      </c>
      <c r="J84" s="195">
        <f ca="1">IFERROR(__xludf.DUMMYFUNCTION("IMPORTRANGE(""https://docs.google.com/spreadsheets/d/1IYY_tgx_IHuhSq3AJ5eI5OnqOPBNLWSHKh2a30DoXe8/edit?usp=sharing"",""สตูล!J24"")"),0)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IFERROR(__xludf.DUMMYFUNCTION("IMPORTRANGE(""https://docs.google.com/spreadsheets/d/1IYY_tgx_IHuhSq3AJ5eI5OnqOPBNLWSHKh2a30DoXe8/edit?usp=sharing"",""สตูล!I25"")"),0)</f>
        <v>0</v>
      </c>
      <c r="J85" s="195">
        <f ca="1">IFERROR(__xludf.DUMMYFUNCTION("IMPORTRANGE(""https://docs.google.com/spreadsheets/d/1IYY_tgx_IHuhSq3AJ5eI5OnqOPBNLWSHKh2a30DoXe8/edit?usp=sharing"",""สตูล!J25"")"),0)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IFERROR(__xludf.DUMMYFUNCTION("IMPORTRANGE(""https://docs.google.com/spreadsheets/d/1IYY_tgx_IHuhSq3AJ5eI5OnqOPBNLWSHKh2a30DoXe8/edit?usp=sharing"",""สตูล!I26"")"),0)</f>
        <v>0</v>
      </c>
      <c r="J86" s="210">
        <f ca="1">IFERROR(__xludf.DUMMYFUNCTION("IMPORTRANGE(""https://docs.google.com/spreadsheets/d/1IYY_tgx_IHuhSq3AJ5eI5OnqOPBNLWSHKh2a30DoXe8/edit?usp=sharing"",""สตูล!J26"")"),0)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IFERROR(__xludf.DUMMYFUNCTION("IMPORTRANGE(""https://docs.google.com/spreadsheets/d/1IYY_tgx_IHuhSq3AJ5eI5OnqOPBNLWSHKh2a30DoXe8/edit?usp=sharing"",""สตูล!I27"")"),0)</f>
        <v>0</v>
      </c>
      <c r="J87" s="210">
        <f ca="1">IFERROR(__xludf.DUMMYFUNCTION("IMPORTRANGE(""https://docs.google.com/spreadsheets/d/1IYY_tgx_IHuhSq3AJ5eI5OnqOPBNLWSHKh2a30DoXe8/edit?usp=sharing"",""สตูล!J27"")"),0)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IFERROR(__xludf.DUMMYFUNCTION("IMPORTRANGE(""https://docs.google.com/spreadsheets/d/1IYY_tgx_IHuhSq3AJ5eI5OnqOPBNLWSHKh2a30DoXe8/edit?usp=sharing"",""สตูล!I28"")"),0)</f>
        <v>0</v>
      </c>
      <c r="J88" s="210">
        <f ca="1">IFERROR(__xludf.DUMMYFUNCTION("IMPORTRANGE(""https://docs.google.com/spreadsheets/d/1IYY_tgx_IHuhSq3AJ5eI5OnqOPBNLWSHKh2a30DoXe8/edit?usp=sharing"",""สตูล!J28"")"),0)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IFERROR(__xludf.DUMMYFUNCTION("IMPORTRANGE(""https://docs.google.com/spreadsheets/d/1IYY_tgx_IHuhSq3AJ5eI5OnqOPBNLWSHKh2a30DoXe8/edit?usp=sharing"",""สตูล!J29"")"),0)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IFERROR(__xludf.DUMMYFUNCTION("IMPORTRANGE(""https://docs.google.com/spreadsheets/d/1IYY_tgx_IHuhSq3AJ5eI5OnqOPBNLWSHKh2a30DoXe8/edit?usp=sharing"",""สตูล!J30"")"),0)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IFERROR(__xludf.DUMMYFUNCTION("IMPORTRANGE(""https://docs.google.com/spreadsheets/d/1Yj_ptqi66GCucihVvJfMjLAmec39IyEx_6qawtMGysU/edit?usp=sharing"",""สบก!AR93"")"),0)</f>
        <v>0</v>
      </c>
      <c r="N98" s="174">
        <f ca="1">IFERROR(__xludf.DUMMYFUNCTION("IMPORTRANGE(""https://docs.google.com/spreadsheets/d/1Yj_ptqi66GCucihVvJfMjLAmec39IyEx_6qawtMGysU/edit?usp=sharing"",""สบก!AS93"")"),0)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IFERROR(__xludf.DUMMYFUNCTION("IMPORTRANGE(""https://docs.google.com/spreadsheets/d/1Yj_ptqi66GCucihVvJfMjLAmec39IyEx_6qawtMGysU/edit?usp=sharing"",""สบก!AO93"")"),0)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IFERROR(__xludf.DUMMYFUNCTION("IMPORTRANGE(""https://docs.google.com/spreadsheets/d/1IYY_tgx_IHuhSq3AJ5eI5OnqOPBNLWSHKh2a30DoXe8/edit?usp=sharing"",""สตูล!J39"")"),0)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IFERROR(__xludf.DUMMYFUNCTION("IMPORTRANGE(""https://docs.google.com/spreadsheets/d/1IYY_tgx_IHuhSq3AJ5eI5OnqOPBNLWSHKh2a30DoXe8/edit?usp=sharing"",""สตูล!J40"")"),0)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IFERROR(__xludf.DUMMYFUNCTION("IMPORTRANGE(""https://docs.google.com/spreadsheets/d/1IYY_tgx_IHuhSq3AJ5eI5OnqOPBNLWSHKh2a30DoXe8/edit?usp=sharing"",""สตูล!J41"")"),0)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IFERROR(__xludf.DUMMYFUNCTION("IMPORTRANGE(""https://docs.google.com/spreadsheets/d/1IYY_tgx_IHuhSq3AJ5eI5OnqOPBNLWSHKh2a30DoXe8/edit?usp=sharing"",""สตูล!J42"")"),0)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IFERROR(__xludf.DUMMYFUNCTION("IMPORTRANGE(""https://docs.google.com/spreadsheets/d/1IYY_tgx_IHuhSq3AJ5eI5OnqOPBNLWSHKh2a30DoXe8/edit?usp=sharing"",""สตูล!I43"")"),0)</f>
        <v>0</v>
      </c>
      <c r="J108" s="210">
        <f ca="1">IFERROR(__xludf.DUMMYFUNCTION("IMPORTRANGE(""https://docs.google.com/spreadsheets/d/1IYY_tgx_IHuhSq3AJ5eI5OnqOPBNLWSHKh2a30DoXe8/edit?usp=sharing"",""สตูล!J43"")"),0)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IFERROR(__xludf.DUMMYFUNCTION("IMPORTRANGE(""https://docs.google.com/spreadsheets/d/1IYY_tgx_IHuhSq3AJ5eI5OnqOPBNLWSHKh2a30DoXe8/edit?usp=sharing"",""สตูล!I44"")"),0)</f>
        <v>0</v>
      </c>
      <c r="J109" s="210">
        <f ca="1">IFERROR(__xludf.DUMMYFUNCTION("IMPORTRANGE(""https://docs.google.com/spreadsheets/d/1IYY_tgx_IHuhSq3AJ5eI5OnqOPBNLWSHKh2a30DoXe8/edit?usp=sharing"",""สตูล!J44"")"),0)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IFERROR(__xludf.DUMMYFUNCTION("IMPORTRANGE(""https://docs.google.com/spreadsheets/d/1IYY_tgx_IHuhSq3AJ5eI5OnqOPBNLWSHKh2a30DoXe8/edit?usp=sharing"",""สตูล!I45"")"),0)</f>
        <v>0</v>
      </c>
      <c r="J110" s="210">
        <f ca="1">IFERROR(__xludf.DUMMYFUNCTION("IMPORTRANGE(""https://docs.google.com/spreadsheets/d/1IYY_tgx_IHuhSq3AJ5eI5OnqOPBNLWSHKh2a30DoXe8/edit?usp=sharing"",""สตูล!J45"")"),0)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IFERROR(__xludf.DUMMYFUNCTION("IMPORTRANGE(""https://docs.google.com/spreadsheets/d/1IYY_tgx_IHuhSq3AJ5eI5OnqOPBNLWSHKh2a30DoXe8/edit?usp=sharing"",""สตูล!I46"")"),0)</f>
        <v>0</v>
      </c>
      <c r="J111" s="210">
        <f ca="1">IFERROR(__xludf.DUMMYFUNCTION("IMPORTRANGE(""https://docs.google.com/spreadsheets/d/1IYY_tgx_IHuhSq3AJ5eI5OnqOPBNLWSHKh2a30DoXe8/edit?usp=sharing"",""สตูล!J46"")"),0)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IFERROR(__xludf.DUMMYFUNCTION("IMPORTRANGE(""https://docs.google.com/spreadsheets/d/1IYY_tgx_IHuhSq3AJ5eI5OnqOPBNLWSHKh2a30DoXe8/edit?usp=sharing"",""สตูล!I47"")"),0)</f>
        <v>0</v>
      </c>
      <c r="J112" s="210">
        <f ca="1">IFERROR(__xludf.DUMMYFUNCTION("IMPORTRANGE(""https://docs.google.com/spreadsheets/d/1IYY_tgx_IHuhSq3AJ5eI5OnqOPBNLWSHKh2a30DoXe8/edit?usp=sharing"",""สตูล!J47"")"),0)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IFERROR(__xludf.DUMMYFUNCTION("IMPORTRANGE(""https://docs.google.com/spreadsheets/d/1IYY_tgx_IHuhSq3AJ5eI5OnqOPBNLWSHKh2a30DoXe8/edit?usp=sharing"",""สตูล!I48"")"),0)</f>
        <v>0</v>
      </c>
      <c r="J113" s="210">
        <f ca="1">IFERROR(__xludf.DUMMYFUNCTION("IMPORTRANGE(""https://docs.google.com/spreadsheets/d/1IYY_tgx_IHuhSq3AJ5eI5OnqOPBNLWSHKh2a30DoXe8/edit?usp=sharing"",""สตูล!J48"")"),0)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IFERROR(__xludf.DUMMYFUNCTION("IMPORTRANGE(""https://docs.google.com/spreadsheets/d/1IYY_tgx_IHuhSq3AJ5eI5OnqOPBNLWSHKh2a30DoXe8/edit?usp=sharing"",""สตูล!J49"")"),0)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IFERROR(__xludf.DUMMYFUNCTION("IMPORTRANGE(""https://docs.google.com/spreadsheets/d/1IYY_tgx_IHuhSq3AJ5eI5OnqOPBNLWSHKh2a30DoXe8/edit?usp=sharing"",""สตูล!J50"")"),0)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77590</v>
      </c>
      <c r="N118" s="156">
        <f t="shared" ca="1" si="58"/>
        <v>64466.34</v>
      </c>
      <c r="O118" s="155">
        <f t="shared" ref="O118:O120" ca="1" si="59">IF(L118&gt;0,N118*100/L118,0)</f>
        <v>99.347110494683307</v>
      </c>
      <c r="P118" s="155">
        <f t="shared" ref="P118:P120" ca="1" si="60">IF(M118&gt;0,N118*100/M118,0)</f>
        <v>83.085887356618116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77590</v>
      </c>
      <c r="N120" s="161">
        <f t="shared" ca="1" si="62"/>
        <v>64466.34</v>
      </c>
      <c r="O120" s="160">
        <f t="shared" ca="1" si="59"/>
        <v>99.347110494683307</v>
      </c>
      <c r="P120" s="160">
        <f t="shared" ca="1" si="60"/>
        <v>83.085887356618116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IFERROR(__xludf.DUMMYFUNCTION("IMPORTRANGE(""https://docs.google.com/spreadsheets/d/1Yj_ptqi66GCucihVvJfMjLAmec39IyEx_6qawtMGysU/edit?usp=sharing"",""สบก!BA93"")"),77590)</f>
        <v>77590</v>
      </c>
      <c r="N122" s="174">
        <f ca="1">IFERROR(__xludf.DUMMYFUNCTION("IMPORTRANGE(""https://docs.google.com/spreadsheets/d/1Yj_ptqi66GCucihVvJfMjLAmec39IyEx_6qawtMGysU/edit?usp=sharing"",""สบก!BB93"")"),64466.34)</f>
        <v>64466.34</v>
      </c>
      <c r="O122" s="175">
        <f ca="1">IF(L122&gt;0,N122*100/L122,0)</f>
        <v>99.347110494683307</v>
      </c>
      <c r="P122" s="175">
        <f ca="1">IF(M122&gt;0,N122*100/M122,0)</f>
        <v>83.085887356618116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IFERROR(__xludf.DUMMYFUNCTION("IMPORTRANGE(""https://docs.google.com/spreadsheets/d/1Yj_ptqi66GCucihVvJfMjLAmec39IyEx_6qawtMGysU/edit?usp=sharing"",""สบก!AX93"")"),64890)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IFERROR(__xludf.DUMMYFUNCTION("IMPORTRANGE(""https://docs.google.com/spreadsheets/d/1IYY_tgx_IHuhSq3AJ5eI5OnqOPBNLWSHKh2a30DoXe8/edit?usp=sharing"",""สตูล!J58"")"),0)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IFERROR(__xludf.DUMMYFUNCTION("IMPORTRANGE(""https://docs.google.com/spreadsheets/d/1IYY_tgx_IHuhSq3AJ5eI5OnqOPBNLWSHKh2a30DoXe8/edit?usp=sharing"",""สตูล!J59"")"),1)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IFERROR(__xludf.DUMMYFUNCTION("IMPORTRANGE(""https://docs.google.com/spreadsheets/d/1IYY_tgx_IHuhSq3AJ5eI5OnqOPBNLWSHKh2a30DoXe8/edit?usp=sharing"",""สตูล!J60"")"),1)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IFERROR(__xludf.DUMMYFUNCTION("IMPORTRANGE(""https://docs.google.com/spreadsheets/d/1IYY_tgx_IHuhSq3AJ5eI5OnqOPBNLWSHKh2a30DoXe8/edit?usp=sharing"",""สตูล!J61"")"),1)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IFERROR(__xludf.DUMMYFUNCTION("IMPORTRANGE(""https://docs.google.com/spreadsheets/d/1IYY_tgx_IHuhSq3AJ5eI5OnqOPBNLWSHKh2a30DoXe8/edit?usp=sharing"",""สตูล!I62"")"),15)</f>
        <v>15</v>
      </c>
      <c r="J132" s="210">
        <f ca="1">IFERROR(__xludf.DUMMYFUNCTION("IMPORTRANGE(""https://docs.google.com/spreadsheets/d/1IYY_tgx_IHuhSq3AJ5eI5OnqOPBNLWSHKh2a30DoXe8/edit?usp=sharing"",""สตูล!J62"")"),15)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IFERROR(__xludf.DUMMYFUNCTION("IMPORTRANGE(""https://docs.google.com/spreadsheets/d/1IYY_tgx_IHuhSq3AJ5eI5OnqOPBNLWSHKh2a30DoXe8/edit?usp=sharing"",""สตูล!I63"")"),15)</f>
        <v>15</v>
      </c>
      <c r="J133" s="210">
        <f ca="1">IFERROR(__xludf.DUMMYFUNCTION("IMPORTRANGE(""https://docs.google.com/spreadsheets/d/1IYY_tgx_IHuhSq3AJ5eI5OnqOPBNLWSHKh2a30DoXe8/edit?usp=sharing"",""สตูล!J63"")"),15)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IFERROR(__xludf.DUMMYFUNCTION("IMPORTRANGE(""https://docs.google.com/spreadsheets/d/1IYY_tgx_IHuhSq3AJ5eI5OnqOPBNLWSHKh2a30DoXe8/edit?usp=sharing"",""สตูล!J64"")"),0)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IFERROR(__xludf.DUMMYFUNCTION("IMPORTRANGE(""https://docs.google.com/spreadsheets/d/1IYY_tgx_IHuhSq3AJ5eI5OnqOPBNLWSHKh2a30DoXe8/edit?usp=sharing"",""สตูล!J65"")"),0)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IFERROR(__xludf.DUMMYFUNCTION("IMPORTRANGE(""https://docs.google.com/spreadsheets/d/1IYY_tgx_IHuhSq3AJ5eI5OnqOPBNLWSHKh2a30DoXe8/edit?usp=sharing"",""สตูล!I68"")"),0)</f>
        <v>0</v>
      </c>
      <c r="J138" s="273">
        <f ca="1">IFERROR(__xludf.DUMMYFUNCTION("IMPORTRANGE(""https://docs.google.com/spreadsheets/d/1IYY_tgx_IHuhSq3AJ5eI5OnqOPBNLWSHKh2a30DoXe8/edit?usp=sharing"",""สตูล!J68"")"),0)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42700</v>
      </c>
      <c r="M140" s="156">
        <f t="shared" ca="1" si="64"/>
        <v>50700</v>
      </c>
      <c r="N140" s="156">
        <f t="shared" ca="1" si="64"/>
        <v>48015</v>
      </c>
      <c r="O140" s="155">
        <f t="shared" ref="O140:O142" ca="1" si="65">IF(L140&gt;0,N140*100/L140,0)</f>
        <v>112.44730679156909</v>
      </c>
      <c r="P140" s="155">
        <f t="shared" ref="P140:P142" ca="1" si="66">IF(M140&gt;0,N140*100/M140,0)</f>
        <v>94.704142011834321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42700</v>
      </c>
      <c r="M142" s="161">
        <f t="shared" ca="1" si="68"/>
        <v>50700</v>
      </c>
      <c r="N142" s="161">
        <f t="shared" ca="1" si="68"/>
        <v>48015</v>
      </c>
      <c r="O142" s="160">
        <f t="shared" ca="1" si="65"/>
        <v>112.44730679156909</v>
      </c>
      <c r="P142" s="160">
        <f t="shared" ca="1" si="66"/>
        <v>94.704142011834321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42700</v>
      </c>
      <c r="M144" s="173">
        <f ca="1">IFERROR(__xludf.DUMMYFUNCTION("IMPORTRANGE(""https://docs.google.com/spreadsheets/d/1Yj_ptqi66GCucihVvJfMjLAmec39IyEx_6qawtMGysU/edit?usp=sharing"",""สบก!BJ93"")"),50700)</f>
        <v>50700</v>
      </c>
      <c r="N144" s="174">
        <f ca="1">IFERROR(__xludf.DUMMYFUNCTION("IMPORTRANGE(""https://docs.google.com/spreadsheets/d/1Yj_ptqi66GCucihVvJfMjLAmec39IyEx_6qawtMGysU/edit?usp=sharing"",""สบก!BK93"")"),48015)</f>
        <v>48015</v>
      </c>
      <c r="O144" s="175">
        <f ca="1">IF(L144&gt;0,N144*100/L144,0)</f>
        <v>112.44730679156909</v>
      </c>
      <c r="P144" s="175">
        <f ca="1">IF(M144&gt;0,N144*100/M144,0)</f>
        <v>94.704142011834321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IFERROR(__xludf.DUMMYFUNCTION("IMPORTRANGE(""https://docs.google.com/spreadsheets/d/1Yj_ptqi66GCucihVvJfMjLAmec39IyEx_6qawtMGysU/edit?usp=sharing"",""สบก!BF93"")"),0)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IFERROR(__xludf.DUMMYFUNCTION("IMPORTRANGE(""https://docs.google.com/spreadsheets/d/1Yj_ptqi66GCucihVvJfMjLAmec39IyEx_6qawtMGysU/edit?usp=sharing"",""สบก!BG93"")"),42700)</f>
        <v>42700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IFERROR(__xludf.DUMMYFUNCTION("IMPORTRANGE(""https://docs.google.com/spreadsheets/d/1IYY_tgx_IHuhSq3AJ5eI5OnqOPBNLWSHKh2a30DoXe8/edit?usp=sharing"",""สตูล!I74"")"),4)</f>
        <v>4</v>
      </c>
      <c r="J149" s="281">
        <f ca="1">IFERROR(__xludf.DUMMYFUNCTION("IMPORTRANGE(""https://docs.google.com/spreadsheets/d/1IYY_tgx_IHuhSq3AJ5eI5OnqOPBNLWSHKh2a30DoXe8/edit?usp=sharing"",""สตูล!J74"")"),3)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IFERROR(__xludf.DUMMYFUNCTION("IMPORTRANGE(""https://docs.google.com/spreadsheets/d/1IYY_tgx_IHuhSq3AJ5eI5OnqOPBNLWSHKh2a30DoXe8/edit?usp=sharing"",""สตูล!J79"")"),0)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IFERROR(__xludf.DUMMYFUNCTION("IMPORTRANGE(""https://docs.google.com/spreadsheets/d/1IYY_tgx_IHuhSq3AJ5eI5OnqOPBNLWSHKh2a30DoXe8/edit?usp=sharing"",""สตูล!J80"")"),1)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IFERROR(__xludf.DUMMYFUNCTION("IMPORTRANGE(""https://docs.google.com/spreadsheets/d/1IYY_tgx_IHuhSq3AJ5eI5OnqOPBNLWSHKh2a30DoXe8/edit?usp=sharing"",""สตูล!J81"")"),1)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IFERROR(__xludf.DUMMYFUNCTION("IMPORTRANGE(""https://docs.google.com/spreadsheets/d/1IYY_tgx_IHuhSq3AJ5eI5OnqOPBNLWSHKh2a30DoXe8/edit?usp=sharing"",""สตูล!J82"")"),1)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IFERROR(__xludf.DUMMYFUNCTION("IMPORTRANGE(""https://docs.google.com/spreadsheets/d/1IYY_tgx_IHuhSq3AJ5eI5OnqOPBNLWSHKh2a30DoXe8/edit?usp=sharing"",""สตูล!I83"")"),4)</f>
        <v>4</v>
      </c>
      <c r="J158" s="195">
        <f ca="1">IFERROR(__xludf.DUMMYFUNCTION("IMPORTRANGE(""https://docs.google.com/spreadsheets/d/1IYY_tgx_IHuhSq3AJ5eI5OnqOPBNLWSHKh2a30DoXe8/edit?usp=sharing"",""สตูล!J83"")"),3)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IFERROR(__xludf.DUMMYFUNCTION("IMPORTRANGE(""https://docs.google.com/spreadsheets/d/1IYY_tgx_IHuhSq3AJ5eI5OnqOPBNLWSHKh2a30DoXe8/edit?usp=sharing"",""สตูล!J84"")"),50)</f>
        <v>50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IFERROR(__xludf.DUMMYFUNCTION("IMPORTRANGE(""https://docs.google.com/spreadsheets/d/1IYY_tgx_IHuhSq3AJ5eI5OnqOPBNLWSHKh2a30DoXe8/edit?usp=sharing"",""สตูล!J85"")"),50)</f>
        <v>50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IFERROR(__xludf.DUMMYFUNCTION("IMPORTRANGE(""https://docs.google.com/spreadsheets/d/1IYY_tgx_IHuhSq3AJ5eI5OnqOPBNLWSHKh2a30DoXe8/edit?usp=sharing"",""สตูล!J86"")"),0)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IFERROR(__xludf.DUMMYFUNCTION("IMPORTRANGE(""https://docs.google.com/spreadsheets/d/1IYY_tgx_IHuhSq3AJ5eI5OnqOPBNLWSHKh2a30DoXe8/edit?usp=sharing"",""สตูล!J87"")"),0)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IFERROR(__xludf.DUMMYFUNCTION("IMPORTRANGE(""https://docs.google.com/spreadsheets/d/1IYY_tgx_IHuhSq3AJ5eI5OnqOPBNLWSHKh2a30DoXe8/edit?usp=sharing"",""สตูล!J88"")"),0)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IFERROR(__xludf.DUMMYFUNCTION("IMPORTRANGE(""https://docs.google.com/spreadsheets/d/1IYY_tgx_IHuhSq3AJ5eI5OnqOPBNLWSHKh2a30DoXe8/edit?usp=sharing"",""สตูล!J94"")"),0)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IFERROR(__xludf.DUMMYFUNCTION("IMPORTRANGE(""https://docs.google.com/spreadsheets/d/1IYY_tgx_IHuhSq3AJ5eI5OnqOPBNLWSHKh2a30DoXe8/edit?usp=sharing"",""สตูล!J95"")"),1)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IFERROR(__xludf.DUMMYFUNCTION("IMPORTRANGE(""https://docs.google.com/spreadsheets/d/1IYY_tgx_IHuhSq3AJ5eI5OnqOPBNLWSHKh2a30DoXe8/edit?usp=sharing"",""สตูล!J96"")"),1)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IFERROR(__xludf.DUMMYFUNCTION("IMPORTRANGE(""https://docs.google.com/spreadsheets/d/1IYY_tgx_IHuhSq3AJ5eI5OnqOPBNLWSHKh2a30DoXe8/edit?usp=sharing"",""สตูล!J97"")"),1)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IFERROR(__xludf.DUMMYFUNCTION("IMPORTRANGE(""https://docs.google.com/spreadsheets/d/1IYY_tgx_IHuhSq3AJ5eI5OnqOPBNLWSHKh2a30DoXe8/edit?usp=sharing"",""สตูล!I98"")"),2)</f>
        <v>2</v>
      </c>
      <c r="J173" s="195">
        <f ca="1">IFERROR(__xludf.DUMMYFUNCTION("IMPORTRANGE(""https://docs.google.com/spreadsheets/d/1IYY_tgx_IHuhSq3AJ5eI5OnqOPBNLWSHKh2a30DoXe8/edit?usp=sharing"",""สตูล!J98"")"),2)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IFERROR(__xludf.DUMMYFUNCTION("IMPORTRANGE(""https://docs.google.com/spreadsheets/d/1IYY_tgx_IHuhSq3AJ5eI5OnqOPBNLWSHKh2a30DoXe8/edit?usp=sharing"",""สตูล!J99"")"),0)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IFERROR(__xludf.DUMMYFUNCTION("IMPORTRANGE(""https://docs.google.com/spreadsheets/d/1IYY_tgx_IHuhSq3AJ5eI5OnqOPBNLWSHKh2a30DoXe8/edit?usp=sharing"",""สตูล!J100"")"),0)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IFERROR(__xludf.DUMMYFUNCTION("IMPORTRANGE(""https://docs.google.com/spreadsheets/d/1IYY_tgx_IHuhSq3AJ5eI5OnqOPBNLWSHKh2a30DoXe8/edit?usp=sharing"",""สตูล!J106"")"),0)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IFERROR(__xludf.DUMMYFUNCTION("IMPORTRANGE(""https://docs.google.com/spreadsheets/d/1IYY_tgx_IHuhSq3AJ5eI5OnqOPBNLWSHKh2a30DoXe8/edit?usp=sharing"",""สตูล!J107"")"),0)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IFERROR(__xludf.DUMMYFUNCTION("IMPORTRANGE(""https://docs.google.com/spreadsheets/d/1IYY_tgx_IHuhSq3AJ5eI5OnqOPBNLWSHKh2a30DoXe8/edit?usp=sharing"",""สตูล!J108"")"),0)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IFERROR(__xludf.DUMMYFUNCTION("IMPORTRANGE(""https://docs.google.com/spreadsheets/d/1IYY_tgx_IHuhSq3AJ5eI5OnqOPBNLWSHKh2a30DoXe8/edit?usp=sharing"",""สตูล!J109"")"),0)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IFERROR(__xludf.DUMMYFUNCTION("IMPORTRANGE(""https://docs.google.com/spreadsheets/d/1IYY_tgx_IHuhSq3AJ5eI5OnqOPBNLWSHKh2a30DoXe8/edit?usp=sharing"",""สตูล!I110"")"),0)</f>
        <v>0</v>
      </c>
      <c r="J185" s="210">
        <f ca="1">IFERROR(__xludf.DUMMYFUNCTION("IMPORTRANGE(""https://docs.google.com/spreadsheets/d/1IYY_tgx_IHuhSq3AJ5eI5OnqOPBNLWSHKh2a30DoXe8/edit?usp=sharing"",""สตูล!J110"")"),0)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IFERROR(__xludf.DUMMYFUNCTION("IMPORTRANGE(""https://docs.google.com/spreadsheets/d/1IYY_tgx_IHuhSq3AJ5eI5OnqOPBNLWSHKh2a30DoXe8/edit?usp=sharing"",""สตูล!I111"")"),0)</f>
        <v>0</v>
      </c>
      <c r="J186" s="210">
        <f ca="1">IFERROR(__xludf.DUMMYFUNCTION("IMPORTRANGE(""https://docs.google.com/spreadsheets/d/1IYY_tgx_IHuhSq3AJ5eI5OnqOPBNLWSHKh2a30DoXe8/edit?usp=sharing"",""สตูล!J111"")"),0)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IFERROR(__xludf.DUMMYFUNCTION("IMPORTRANGE(""https://docs.google.com/spreadsheets/d/1IYY_tgx_IHuhSq3AJ5eI5OnqOPBNLWSHKh2a30DoXe8/edit?usp=sharing"",""สตูล!J112"")"),0)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IFERROR(__xludf.DUMMYFUNCTION("IMPORTRANGE(""https://docs.google.com/spreadsheets/d/1IYY_tgx_IHuhSq3AJ5eI5OnqOPBNLWSHKh2a30DoXe8/edit?usp=sharing"",""สตูล!J113"")"),0)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IFERROR(__xludf.DUMMYFUNCTION("IMPORTRANGE(""https://docs.google.com/spreadsheets/d/1IYY_tgx_IHuhSq3AJ5eI5OnqOPBNLWSHKh2a30DoXe8/edit?usp=sharing"",""สตูล!J114"")"),6400)</f>
        <v>6400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IFERROR(__xludf.DUMMYFUNCTION("IMPORTRANGE(""https://docs.google.com/spreadsheets/d/1IYY_tgx_IHuhSq3AJ5eI5OnqOPBNLWSHKh2a30DoXe8/edit?usp=sharing"",""สตูล!J119"")"),1)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IFERROR(__xludf.DUMMYFUNCTION("IMPORTRANGE(""https://docs.google.com/spreadsheets/d/1IYY_tgx_IHuhSq3AJ5eI5OnqOPBNLWSHKh2a30DoXe8/edit?usp=sharing"",""สตูล!J120"")"),0)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IFERROR(__xludf.DUMMYFUNCTION("IMPORTRANGE(""https://docs.google.com/spreadsheets/d/1IYY_tgx_IHuhSq3AJ5eI5OnqOPBNLWSHKh2a30DoXe8/edit?usp=sharing"",""สตูล!J121"")"),0)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IFERROR(__xludf.DUMMYFUNCTION("IMPORTRANGE(""https://docs.google.com/spreadsheets/d/1IYY_tgx_IHuhSq3AJ5eI5OnqOPBNLWSHKh2a30DoXe8/edit?usp=sharing"",""สตูล!J122"")"),0)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IFERROR(__xludf.DUMMYFUNCTION("IMPORTRANGE(""https://docs.google.com/spreadsheets/d/1IYY_tgx_IHuhSq3AJ5eI5OnqOPBNLWSHKh2a30DoXe8/edit?usp=sharing"",""สตูล!I124"")"),6400)</f>
        <v>6400</v>
      </c>
      <c r="J199" s="195">
        <f ca="1">IFERROR(__xludf.DUMMYFUNCTION("IMPORTRANGE(""https://docs.google.com/spreadsheets/d/1IYY_tgx_IHuhSq3AJ5eI5OnqOPBNLWSHKh2a30DoXe8/edit?usp=sharing"",""สตูล!J124"")"),6400)</f>
        <v>6400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IFERROR(__xludf.DUMMYFUNCTION("IMPORTRANGE(""https://docs.google.com/spreadsheets/d/1IYY_tgx_IHuhSq3AJ5eI5OnqOPBNLWSHKh2a30DoXe8/edit?usp=sharing"",""สตูล!I125"")"),6400)</f>
        <v>6400</v>
      </c>
      <c r="J200" s="195">
        <f ca="1">IFERROR(__xludf.DUMMYFUNCTION("IMPORTRANGE(""https://docs.google.com/spreadsheets/d/1IYY_tgx_IHuhSq3AJ5eI5OnqOPBNLWSHKh2a30DoXe8/edit?usp=sharing"",""สตูล!J125"")"),6400)</f>
        <v>6400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IFERROR(__xludf.DUMMYFUNCTION("IMPORTRANGE(""https://docs.google.com/spreadsheets/d/1IYY_tgx_IHuhSq3AJ5eI5OnqOPBNLWSHKh2a30DoXe8/edit?usp=sharing"",""สตูล!I126"")"),0)</f>
        <v>0</v>
      </c>
      <c r="J201" s="195">
        <f ca="1">IFERROR(__xludf.DUMMYFUNCTION("IMPORTRANGE(""https://docs.google.com/spreadsheets/d/1IYY_tgx_IHuhSq3AJ5eI5OnqOPBNLWSHKh2a30DoXe8/edit?usp=sharing"",""สตูล!J126"")"),0)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IFERROR(__xludf.DUMMYFUNCTION("IMPORTRANGE(""https://docs.google.com/spreadsheets/d/1IYY_tgx_IHuhSq3AJ5eI5OnqOPBNLWSHKh2a30DoXe8/edit?usp=sharing"",""สตูล!J127"")"),0)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IFERROR(__xludf.DUMMYFUNCTION("IMPORTRANGE(""https://docs.google.com/spreadsheets/d/1IYY_tgx_IHuhSq3AJ5eI5OnqOPBNLWSHKh2a30DoXe8/edit?usp=sharing"",""สตูล!J128"")"),0)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IFERROR(__xludf.DUMMYFUNCTION("IMPORTRANGE(""https://docs.google.com/spreadsheets/d/1IYY_tgx_IHuhSq3AJ5eI5OnqOPBNLWSHKh2a30DoXe8/edit?usp=sharing"",""สตูล!J134"")"),0)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IFERROR(__xludf.DUMMYFUNCTION("IMPORTRANGE(""https://docs.google.com/spreadsheets/d/1IYY_tgx_IHuhSq3AJ5eI5OnqOPBNLWSHKh2a30DoXe8/edit?usp=sharing"",""สตูล!J135"")"),0)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IFERROR(__xludf.DUMMYFUNCTION("IMPORTRANGE(""https://docs.google.com/spreadsheets/d/1IYY_tgx_IHuhSq3AJ5eI5OnqOPBNLWSHKh2a30DoXe8/edit?usp=sharing"",""สตูล!J136"")"),0)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IFERROR(__xludf.DUMMYFUNCTION("IMPORTRANGE(""https://docs.google.com/spreadsheets/d/1IYY_tgx_IHuhSq3AJ5eI5OnqOPBNLWSHKh2a30DoXe8/edit?usp=sharing"",""สตูล!J137"")"),0)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IFERROR(__xludf.DUMMYFUNCTION("IMPORTRANGE(""https://docs.google.com/spreadsheets/d/1IYY_tgx_IHuhSq3AJ5eI5OnqOPBNLWSHKh2a30DoXe8/edit?usp=sharing"",""สตูล!I138"")"),0)</f>
        <v>0</v>
      </c>
      <c r="J213" s="210">
        <f ca="1">IFERROR(__xludf.DUMMYFUNCTION("IMPORTRANGE(""https://docs.google.com/spreadsheets/d/1IYY_tgx_IHuhSq3AJ5eI5OnqOPBNLWSHKh2a30DoXe8/edit?usp=sharing"",""สตูล!J138"")"),0)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IFERROR(__xludf.DUMMYFUNCTION("IMPORTRANGE(""https://docs.google.com/spreadsheets/d/1IYY_tgx_IHuhSq3AJ5eI5OnqOPBNLWSHKh2a30DoXe8/edit?usp=sharing"",""สตูล!I140"")"),0)</f>
        <v>0</v>
      </c>
      <c r="J215" s="210">
        <f ca="1">IFERROR(__xludf.DUMMYFUNCTION("IMPORTRANGE(""https://docs.google.com/spreadsheets/d/1IYY_tgx_IHuhSq3AJ5eI5OnqOPBNLWSHKh2a30DoXe8/edit?usp=sharing"",""สตูล!J140"")"),0)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IFERROR(__xludf.DUMMYFUNCTION("IMPORTRANGE(""https://docs.google.com/spreadsheets/d/1IYY_tgx_IHuhSq3AJ5eI5OnqOPBNLWSHKh2a30DoXe8/edit?usp=sharing"",""สตูล!I141"")"),0)</f>
        <v>0</v>
      </c>
      <c r="J216" s="210">
        <f ca="1">IFERROR(__xludf.DUMMYFUNCTION("IMPORTRANGE(""https://docs.google.com/spreadsheets/d/1IYY_tgx_IHuhSq3AJ5eI5OnqOPBNLWSHKh2a30DoXe8/edit?usp=sharing"",""สตูล!J141"")"),0)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IFERROR(__xludf.DUMMYFUNCTION("IMPORTRANGE(""https://docs.google.com/spreadsheets/d/1IYY_tgx_IHuhSq3AJ5eI5OnqOPBNLWSHKh2a30DoXe8/edit?usp=sharing"",""สตูล!J142"")"),0)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IFERROR(__xludf.DUMMYFUNCTION("IMPORTRANGE(""https://docs.google.com/spreadsheets/d/1IYY_tgx_IHuhSq3AJ5eI5OnqOPBNLWSHKh2a30DoXe8/edit?usp=sharing"",""สตูล!J143"")"),0)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IFERROR(__xludf.DUMMYFUNCTION("IMPORTRANGE(""https://docs.google.com/spreadsheets/d/1IYY_tgx_IHuhSq3AJ5eI5OnqOPBNLWSHKh2a30DoXe8/edit?usp=sharing"",""สตูล!I144"")"),18)</f>
        <v>18</v>
      </c>
      <c r="J219" s="273">
        <f ca="1">IFERROR(__xludf.DUMMYFUNCTION("IMPORTRANGE(""https://docs.google.com/spreadsheets/d/1IYY_tgx_IHuhSq3AJ5eI5OnqOPBNLWSHKh2a30DoXe8/edit?usp=sharing"",""สตูล!J144"")"),18)</f>
        <v>18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23870</v>
      </c>
      <c r="M224" s="173">
        <f ca="1">IFERROR(__xludf.DUMMYFUNCTION("IMPORTRANGE(""https://docs.google.com/spreadsheets/d/1Yj_ptqi66GCucihVvJfMjLAmec39IyEx_6qawtMGysU/edit?usp=sharing"",""สบก!BS93"")"),23870)</f>
        <v>23870</v>
      </c>
      <c r="N224" s="174">
        <f ca="1">IFERROR(__xludf.DUMMYFUNCTION("IMPORTRANGE(""https://docs.google.com/spreadsheets/d/1Yj_ptqi66GCucihVvJfMjLAmec39IyEx_6qawtMGysU/edit?usp=sharing"",""สบก!BT93"")"),23870)</f>
        <v>23870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IFERROR(__xludf.DUMMYFUNCTION("IMPORTRANGE(""https://docs.google.com/spreadsheets/d/1Yj_ptqi66GCucihVvJfMjLAmec39IyEx_6qawtMGysU/edit?usp=sharing"",""สบก!BP93"")"),23870)</f>
        <v>23870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IFERROR(__xludf.DUMMYFUNCTION("IMPORTRANGE(""https://docs.google.com/spreadsheets/d/1IYY_tgx_IHuhSq3AJ5eI5OnqOPBNLWSHKh2a30DoXe8/edit?usp=sharing"",""สตูล!I149"")"),18)</f>
        <v>18</v>
      </c>
      <c r="J229" s="273">
        <f ca="1">IFERROR(__xludf.DUMMYFUNCTION("IMPORTRANGE(""https://docs.google.com/spreadsheets/d/1IYY_tgx_IHuhSq3AJ5eI5OnqOPBNLWSHKh2a30DoXe8/edit?usp=sharing"",""สตูล!J149"")"),18)</f>
        <v>18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IFERROR(__xludf.DUMMYFUNCTION("IMPORTRANGE(""https://docs.google.com/spreadsheets/d/1IYY_tgx_IHuhSq3AJ5eI5OnqOPBNLWSHKh2a30DoXe8/edit?usp=sharing"",""สตูล!J151"")"),0)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IFERROR(__xludf.DUMMYFUNCTION("IMPORTRANGE(""https://docs.google.com/spreadsheets/d/1IYY_tgx_IHuhSq3AJ5eI5OnqOPBNLWSHKh2a30DoXe8/edit?usp=sharing"",""สตูล!J152"")"),1)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IFERROR(__xludf.DUMMYFUNCTION("IMPORTRANGE(""https://docs.google.com/spreadsheets/d/1IYY_tgx_IHuhSq3AJ5eI5OnqOPBNLWSHKh2a30DoXe8/edit?usp=sharing"",""สตูล!J153"")"),1)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IFERROR(__xludf.DUMMYFUNCTION("IMPORTRANGE(""https://docs.google.com/spreadsheets/d/1IYY_tgx_IHuhSq3AJ5eI5OnqOPBNLWSHKh2a30DoXe8/edit?usp=sharing"",""สตูล!J154"")"),1)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IFERROR(__xludf.DUMMYFUNCTION("IMPORTRANGE(""https://docs.google.com/spreadsheets/d/1IYY_tgx_IHuhSq3AJ5eI5OnqOPBNLWSHKh2a30DoXe8/edit?usp=sharing"",""สตูล!I155"")"),18)</f>
        <v>18</v>
      </c>
      <c r="J235" s="195">
        <f ca="1">IFERROR(__xludf.DUMMYFUNCTION("IMPORTRANGE(""https://docs.google.com/spreadsheets/d/1IYY_tgx_IHuhSq3AJ5eI5OnqOPBNLWSHKh2a30DoXe8/edit?usp=sharing"",""สตูล!J155"")"),18)</f>
        <v>18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IFERROR(__xludf.DUMMYFUNCTION("IMPORTRANGE(""https://docs.google.com/spreadsheets/d/1IYY_tgx_IHuhSq3AJ5eI5OnqOPBNLWSHKh2a30DoXe8/edit?usp=sharing"",""สตูล!J156"")"),0)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IFERROR(__xludf.DUMMYFUNCTION("IMPORTRANGE(""https://docs.google.com/spreadsheets/d/1IYY_tgx_IHuhSq3AJ5eI5OnqOPBNLWSHKh2a30DoXe8/edit?usp=sharing"",""สตูล!J157"")"),0)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IFERROR(__xludf.DUMMYFUNCTION("IMPORTRANGE(""https://docs.google.com/spreadsheets/d/1IYY_tgx_IHuhSq3AJ5eI5OnqOPBNLWSHKh2a30DoXe8/edit?usp=sharing"",""สตูล!I158"")"),0)</f>
        <v>0</v>
      </c>
      <c r="J238" s="273">
        <f ca="1">IFERROR(__xludf.DUMMYFUNCTION("IMPORTRANGE(""https://docs.google.com/spreadsheets/d/1IYY_tgx_IHuhSq3AJ5eI5OnqOPBNLWSHKh2a30DoXe8/edit?usp=sharing"",""สตูล!J158"")"),0)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IFERROR(__xludf.DUMMYFUNCTION("IMPORTRANGE(""https://docs.google.com/spreadsheets/d/1IYY_tgx_IHuhSq3AJ5eI5OnqOPBNLWSHKh2a30DoXe8/edit?usp=sharing"",""สตูล!J159"")"),"")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IFERROR(__xludf.DUMMYFUNCTION("IMPORTRANGE(""https://docs.google.com/spreadsheets/d/1IYY_tgx_IHuhSq3AJ5eI5OnqOPBNLWSHKh2a30DoXe8/edit?usp=sharing"",""สตูล!J161"")"),0)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IFERROR(__xludf.DUMMYFUNCTION("IMPORTRANGE(""https://docs.google.com/spreadsheets/d/1IYY_tgx_IHuhSq3AJ5eI5OnqOPBNLWSHKh2a30DoXe8/edit?usp=sharing"",""สตูล!J162"")"),0)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IFERROR(__xludf.DUMMYFUNCTION("IMPORTRANGE(""https://docs.google.com/spreadsheets/d/1IYY_tgx_IHuhSq3AJ5eI5OnqOPBNLWSHKh2a30DoXe8/edit?usp=sharing"",""สตูล!J163"")"),0)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IFERROR(__xludf.DUMMYFUNCTION("IMPORTRANGE(""https://docs.google.com/spreadsheets/d/1IYY_tgx_IHuhSq3AJ5eI5OnqOPBNLWSHKh2a30DoXe8/edit?usp=sharing"",""สตูล!I164"")"),0)</f>
        <v>0</v>
      </c>
      <c r="J244" s="194">
        <f ca="1">IFERROR(__xludf.DUMMYFUNCTION("IMPORTRANGE(""https://docs.google.com/spreadsheets/d/1IYY_tgx_IHuhSq3AJ5eI5OnqOPBNLWSHKh2a30DoXe8/edit?usp=sharing"",""สตูล!J164"")"),0)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IFERROR(__xludf.DUMMYFUNCTION("IMPORTRANGE(""https://docs.google.com/spreadsheets/d/1IYY_tgx_IHuhSq3AJ5eI5OnqOPBNLWSHKh2a30DoXe8/edit?usp=sharing"",""สตูล!J165"")"),0)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IFERROR(__xludf.DUMMYFUNCTION("IMPORTRANGE(""https://docs.google.com/spreadsheets/d/1Yj_ptqi66GCucihVvJfMjLAmec39IyEx_6qawtMGysU/edit?usp=sharing"",""สบก!CB93"")"),0)</f>
        <v>0</v>
      </c>
      <c r="N254" s="174">
        <f ca="1">IFERROR(__xludf.DUMMYFUNCTION("IMPORTRANGE(""https://docs.google.com/spreadsheets/d/1Yj_ptqi66GCucihVvJfMjLAmec39IyEx_6qawtMGysU/edit?usp=sharing"",""สบก!CC93"")"),0)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IFERROR(__xludf.DUMMYFUNCTION("IMPORTRANGE(""https://docs.google.com/spreadsheets/d/1Yj_ptqi66GCucihVvJfMjLAmec39IyEx_6qawtMGysU/edit?usp=sharing"",""สบก!BY93"")"),0)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IFERROR(__xludf.DUMMYFUNCTION("IMPORTRANGE(""https://docs.google.com/spreadsheets/d/1IYY_tgx_IHuhSq3AJ5eI5OnqOPBNLWSHKh2a30DoXe8/edit?usp=sharing"",""สตูล!J175"")"),0)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IFERROR(__xludf.DUMMYFUNCTION("IMPORTRANGE(""https://docs.google.com/spreadsheets/d/1IYY_tgx_IHuhSq3AJ5eI5OnqOPBNLWSHKh2a30DoXe8/edit?usp=sharing"",""สตูล!J176"")"),0)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IFERROR(__xludf.DUMMYFUNCTION("IMPORTRANGE(""https://docs.google.com/spreadsheets/d/1IYY_tgx_IHuhSq3AJ5eI5OnqOPBNLWSHKh2a30DoXe8/edit?usp=sharing"",""สตูล!J177"")"),0)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IFERROR(__xludf.DUMMYFUNCTION("IMPORTRANGE(""https://docs.google.com/spreadsheets/d/1IYY_tgx_IHuhSq3AJ5eI5OnqOPBNLWSHKh2a30DoXe8/edit?usp=sharing"",""สตูล!J178"")"),0)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IFERROR(__xludf.DUMMYFUNCTION("IMPORTRANGE(""https://docs.google.com/spreadsheets/d/1IYY_tgx_IHuhSq3AJ5eI5OnqOPBNLWSHKh2a30DoXe8/edit?usp=sharing"",""สตูล!I179"")"),0)</f>
        <v>0</v>
      </c>
      <c r="J264" s="195">
        <f ca="1">IFERROR(__xludf.DUMMYFUNCTION("IMPORTRANGE(""https://docs.google.com/spreadsheets/d/1IYY_tgx_IHuhSq3AJ5eI5OnqOPBNLWSHKh2a30DoXe8/edit?usp=sharing"",""สตูล!J179"")"),0)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IFERROR(__xludf.DUMMYFUNCTION("IMPORTRANGE(""https://docs.google.com/spreadsheets/d/1IYY_tgx_IHuhSq3AJ5eI5OnqOPBNLWSHKh2a30DoXe8/edit?usp=sharing"",""สตูล!I180"")"),0)</f>
        <v>0</v>
      </c>
      <c r="J265" s="195">
        <f ca="1">IFERROR(__xludf.DUMMYFUNCTION("IMPORTRANGE(""https://docs.google.com/spreadsheets/d/1IYY_tgx_IHuhSq3AJ5eI5OnqOPBNLWSHKh2a30DoXe8/edit?usp=sharing"",""สตูล!J180"")"),0)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IFERROR(__xludf.DUMMYFUNCTION("IMPORTRANGE(""https://docs.google.com/spreadsheets/d/1IYY_tgx_IHuhSq3AJ5eI5OnqOPBNLWSHKh2a30DoXe8/edit?usp=sharing"",""สตูล!I181"")"),0)</f>
        <v>0</v>
      </c>
      <c r="J266" s="195">
        <f ca="1">IFERROR(__xludf.DUMMYFUNCTION("IMPORTRANGE(""https://docs.google.com/spreadsheets/d/1IYY_tgx_IHuhSq3AJ5eI5OnqOPBNLWSHKh2a30DoXe8/edit?usp=sharing"",""สตูล!J181"")"),0)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IFERROR(__xludf.DUMMYFUNCTION("IMPORTRANGE(""https://docs.google.com/spreadsheets/d/1IYY_tgx_IHuhSq3AJ5eI5OnqOPBNLWSHKh2a30DoXe8/edit?usp=sharing"",""สตูล!I182"")"),0)</f>
        <v>0</v>
      </c>
      <c r="J267" s="195">
        <f ca="1">IFERROR(__xludf.DUMMYFUNCTION("IMPORTRANGE(""https://docs.google.com/spreadsheets/d/1IYY_tgx_IHuhSq3AJ5eI5OnqOPBNLWSHKh2a30DoXe8/edit?usp=sharing"",""สตูล!J182"")"),0)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IFERROR(__xludf.DUMMYFUNCTION("IMPORTRANGE(""https://docs.google.com/spreadsheets/d/1IYY_tgx_IHuhSq3AJ5eI5OnqOPBNLWSHKh2a30DoXe8/edit?usp=sharing"",""สตูล!J183"")"),0)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122998</v>
      </c>
      <c r="O271" s="155">
        <f t="shared" ref="O271:O273" ca="1" si="84">IF(L271&gt;0,N271*100/L271,0)</f>
        <v>65.70405982905983</v>
      </c>
      <c r="P271" s="155">
        <f t="shared" ref="P271:P273" ca="1" si="85">IF(M271&gt;0,N271*100/M271,0)</f>
        <v>65.70405982905983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122998</v>
      </c>
      <c r="O273" s="160">
        <f t="shared" ca="1" si="84"/>
        <v>65.70405982905983</v>
      </c>
      <c r="P273" s="160">
        <f t="shared" ca="1" si="85"/>
        <v>65.70405982905983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IFERROR(__xludf.DUMMYFUNCTION("IMPORTRANGE(""https://docs.google.com/spreadsheets/d/1Yj_ptqi66GCucihVvJfMjLAmec39IyEx_6qawtMGysU/edit?usp=sharing"",""สบก!CK93"")"),187200)</f>
        <v>187200</v>
      </c>
      <c r="N275" s="174">
        <f ca="1">IFERROR(__xludf.DUMMYFUNCTION("IMPORTRANGE(""https://docs.google.com/spreadsheets/d/1Yj_ptqi66GCucihVvJfMjLAmec39IyEx_6qawtMGysU/edit?usp=sharing"",""สบก!CL93"")"),122998)</f>
        <v>122998</v>
      </c>
      <c r="O275" s="175">
        <f ca="1">IF(L275&gt;0,N275*100/L275,0)</f>
        <v>65.70405982905983</v>
      </c>
      <c r="P275" s="175">
        <f ca="1">IF(M275&gt;0,N275*100/M275,0)</f>
        <v>65.70405982905983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IFERROR(__xludf.DUMMYFUNCTION("IMPORTRANGE(""https://docs.google.com/spreadsheets/d/1Yj_ptqi66GCucihVvJfMjLAmec39IyEx_6qawtMGysU/edit?usp=sharing"",""สบก!CG93"")"),132000)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IFERROR(__xludf.DUMMYFUNCTION("IMPORTRANGE(""https://docs.google.com/spreadsheets/d/1Yj_ptqi66GCucihVvJfMjLAmec39IyEx_6qawtMGysU/edit?usp=sharing"",""สบก!CH93"")"),55200)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IFERROR(__xludf.DUMMYFUNCTION("IMPORTRANGE(""https://docs.google.com/spreadsheets/d/1IYY_tgx_IHuhSq3AJ5eI5OnqOPBNLWSHKh2a30DoXe8/edit?usp=sharing"",""สตูล!J191"")"),0)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IFERROR(__xludf.DUMMYFUNCTION("IMPORTRANGE(""https://docs.google.com/spreadsheets/d/1IYY_tgx_IHuhSq3AJ5eI5OnqOPBNLWSHKh2a30DoXe8/edit?usp=sharing"",""สตูล!J192"")"),1)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IFERROR(__xludf.DUMMYFUNCTION("IMPORTRANGE(""https://docs.google.com/spreadsheets/d/1IYY_tgx_IHuhSq3AJ5eI5OnqOPBNLWSHKh2a30DoXe8/edit?usp=sharing"",""สตูล!J193"")"),1)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IFERROR(__xludf.DUMMYFUNCTION("IMPORTRANGE(""https://docs.google.com/spreadsheets/d/1IYY_tgx_IHuhSq3AJ5eI5OnqOPBNLWSHKh2a30DoXe8/edit?usp=sharing"",""สตูล!J194"")"),1)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IFERROR(__xludf.DUMMYFUNCTION("IMPORTRANGE(""https://docs.google.com/spreadsheets/d/1IYY_tgx_IHuhSq3AJ5eI5OnqOPBNLWSHKh2a30DoXe8/edit?usp=sharing"",""สตูล!I195"")"),15)</f>
        <v>15</v>
      </c>
      <c r="J285" s="195">
        <f ca="1">IFERROR(__xludf.DUMMYFUNCTION("IMPORTRANGE(""https://docs.google.com/spreadsheets/d/1IYY_tgx_IHuhSq3AJ5eI5OnqOPBNLWSHKh2a30DoXe8/edit?usp=sharing"",""สตูล!J195"")"),15)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IFERROR(__xludf.DUMMYFUNCTION("IMPORTRANGE(""https://docs.google.com/spreadsheets/d/1IYY_tgx_IHuhSq3AJ5eI5OnqOPBNLWSHKh2a30DoXe8/edit?usp=sharing"",""สตูล!J196"")"),0)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IFERROR(__xludf.DUMMYFUNCTION("IMPORTRANGE(""https://docs.google.com/spreadsheets/d/1IYY_tgx_IHuhSq3AJ5eI5OnqOPBNLWSHKh2a30DoXe8/edit?usp=sharing"",""สตูล!J197"")"),0)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IFERROR(__xludf.DUMMYFUNCTION("IMPORTRANGE(""https://docs.google.com/spreadsheets/d/1Yj_ptqi66GCucihVvJfMjLAmec39IyEx_6qawtMGysU/edit?usp=sharing"",""สบก!CT93"")"),0)</f>
        <v>0</v>
      </c>
      <c r="N294" s="174">
        <f ca="1">IFERROR(__xludf.DUMMYFUNCTION("IMPORTRANGE(""https://docs.google.com/spreadsheets/d/1Yj_ptqi66GCucihVvJfMjLAmec39IyEx_6qawtMGysU/edit?usp=sharing"",""สบก!CU93"")"),0)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IFERROR(__xludf.DUMMYFUNCTION("IMPORTRANGE(""https://docs.google.com/spreadsheets/d/1IYY_tgx_IHuhSq3AJ5eI5OnqOPBNLWSHKh2a30DoXe8/edit?usp=sharing"",""สตูล!J205"")"),0)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IFERROR(__xludf.DUMMYFUNCTION("IMPORTRANGE(""https://docs.google.com/spreadsheets/d/1IYY_tgx_IHuhSq3AJ5eI5OnqOPBNLWSHKh2a30DoXe8/edit?usp=sharing"",""สตูล!J206"")"),0)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IFERROR(__xludf.DUMMYFUNCTION("IMPORTRANGE(""https://docs.google.com/spreadsheets/d/1IYY_tgx_IHuhSq3AJ5eI5OnqOPBNLWSHKh2a30DoXe8/edit?usp=sharing"",""สตูล!J207"")"),0)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IFERROR(__xludf.DUMMYFUNCTION("IMPORTRANGE(""https://docs.google.com/spreadsheets/d/1IYY_tgx_IHuhSq3AJ5eI5OnqOPBNLWSHKh2a30DoXe8/edit?usp=sharing"",""สตูล!J208"")"),0)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IFERROR(__xludf.DUMMYFUNCTION("IMPORTRANGE(""https://docs.google.com/spreadsheets/d/1IYY_tgx_IHuhSq3AJ5eI5OnqOPBNLWSHKh2a30DoXe8/edit?usp=sharing"",""สตูล!I209"")"),0)</f>
        <v>0</v>
      </c>
      <c r="J304" s="210">
        <f ca="1">IFERROR(__xludf.DUMMYFUNCTION("IMPORTRANGE(""https://docs.google.com/spreadsheets/d/1IYY_tgx_IHuhSq3AJ5eI5OnqOPBNLWSHKh2a30DoXe8/edit?usp=sharing"",""สตูล!J209"")"),0)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IFERROR(__xludf.DUMMYFUNCTION("IMPORTRANGE(""https://docs.google.com/spreadsheets/d/1IYY_tgx_IHuhSq3AJ5eI5OnqOPBNLWSHKh2a30DoXe8/edit?usp=sharing"",""สตูล!I211"")"),0)</f>
        <v>0</v>
      </c>
      <c r="J306" s="210">
        <f ca="1">IFERROR(__xludf.DUMMYFUNCTION("IMPORTRANGE(""https://docs.google.com/spreadsheets/d/1IYY_tgx_IHuhSq3AJ5eI5OnqOPBNLWSHKh2a30DoXe8/edit?usp=sharing"",""สตูล!J211"")"),0)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IFERROR(__xludf.DUMMYFUNCTION("IMPORTRANGE(""https://docs.google.com/spreadsheets/d/1IYY_tgx_IHuhSq3AJ5eI5OnqOPBNLWSHKh2a30DoXe8/edit?usp=sharing"",""สตูล!J212"")"),0)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IFERROR(__xludf.DUMMYFUNCTION("IMPORTRANGE(""https://docs.google.com/spreadsheets/d/1Yj_ptqi66GCucihVvJfMjLAmec39IyEx_6qawtMGysU/edit?usp=sharing"",""สบก!DC93"")"),0)</f>
        <v>0</v>
      </c>
      <c r="N314" s="174">
        <f ca="1">IFERROR(__xludf.DUMMYFUNCTION("IMPORTRANGE(""https://docs.google.com/spreadsheets/d/1Yj_ptqi66GCucihVvJfMjLAmec39IyEx_6qawtMGysU/edit?usp=sharing"",""สบก!DD93"")"),0)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IFERROR(__xludf.DUMMYFUNCTION("IMPORTRANGE(""https://docs.google.com/spreadsheets/d/1IYY_tgx_IHuhSq3AJ5eI5OnqOPBNLWSHKh2a30DoXe8/edit?usp=sharing"",""สตูล!J220"")"),0)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IFERROR(__xludf.DUMMYFUNCTION("IMPORTRANGE(""https://docs.google.com/spreadsheets/d/1IYY_tgx_IHuhSq3AJ5eI5OnqOPBNLWSHKh2a30DoXe8/edit?usp=sharing"",""สตูล!J221"")"),0)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IFERROR(__xludf.DUMMYFUNCTION("IMPORTRANGE(""https://docs.google.com/spreadsheets/d/1IYY_tgx_IHuhSq3AJ5eI5OnqOPBNLWSHKh2a30DoXe8/edit?usp=sharing"",""สตูล!J222"")"),0)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IFERROR(__xludf.DUMMYFUNCTION("IMPORTRANGE(""https://docs.google.com/spreadsheets/d/1IYY_tgx_IHuhSq3AJ5eI5OnqOPBNLWSHKh2a30DoXe8/edit?usp=sharing"",""สตูล!J223"")"),0)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IFERROR(__xludf.DUMMYFUNCTION("IMPORTRANGE(""https://docs.google.com/spreadsheets/d/1IYY_tgx_IHuhSq3AJ5eI5OnqOPBNLWSHKh2a30DoXe8/edit?usp=sharing"",""สตูล!I224"")"),0)</f>
        <v>0</v>
      </c>
      <c r="J324" s="210">
        <f ca="1">IFERROR(__xludf.DUMMYFUNCTION("IMPORTRANGE(""https://docs.google.com/spreadsheets/d/1IYY_tgx_IHuhSq3AJ5eI5OnqOPBNLWSHKh2a30DoXe8/edit?usp=sharing"",""สตูล!J224"")"),0)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IFERROR(__xludf.DUMMYFUNCTION("IMPORTRANGE(""https://docs.google.com/spreadsheets/d/1IYY_tgx_IHuhSq3AJ5eI5OnqOPBNLWSHKh2a30DoXe8/edit?usp=sharing"",""สตูล!J225"")"),0)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IFERROR(__xludf.DUMMYFUNCTION("IMPORTRANGE(""https://docs.google.com/spreadsheets/d/1IYY_tgx_IHuhSq3AJ5eI5OnqOPBNLWSHKh2a30DoXe8/edit?usp=sharing"",""สตูล!J226"")"),0)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IFERROR(__xludf.DUMMYFUNCTION("IMPORTRANGE(""https://docs.google.com/spreadsheets/d/1IYY_tgx_IHuhSq3AJ5eI5OnqOPBNLWSHKh2a30DoXe8/edit?usp=sharing"",""สตูล!J228"")"),68)</f>
        <v>68</v>
      </c>
      <c r="K328" s="323">
        <f ca="1">IF(I328&gt;0,J328*100/I328,0)</f>
        <v>136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926350</v>
      </c>
      <c r="M329" s="156">
        <f t="shared" ca="1" si="98"/>
        <v>987850</v>
      </c>
      <c r="N329" s="156">
        <f t="shared" ca="1" si="98"/>
        <v>766573.57</v>
      </c>
      <c r="O329" s="155">
        <f t="shared" ref="O329:O331" ca="1" si="99">IF(L329&gt;0,N329*100/L329,0)</f>
        <v>82.752045123333517</v>
      </c>
      <c r="P329" s="155">
        <f t="shared" ref="P329:P331" ca="1" si="100">IF(M329&gt;0,N329*100/M329,0)</f>
        <v>77.60019942298932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926350</v>
      </c>
      <c r="M331" s="161">
        <f t="shared" ca="1" si="102"/>
        <v>987850</v>
      </c>
      <c r="N331" s="161">
        <f t="shared" ca="1" si="102"/>
        <v>766573.57</v>
      </c>
      <c r="O331" s="160">
        <f t="shared" ca="1" si="99"/>
        <v>82.752045123333517</v>
      </c>
      <c r="P331" s="160">
        <f t="shared" ca="1" si="100"/>
        <v>77.60019942298932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757350</v>
      </c>
      <c r="M333" s="173">
        <f ca="1">IFERROR(__xludf.DUMMYFUNCTION("IMPORTRANGE(""https://docs.google.com/spreadsheets/d/1Yj_ptqi66GCucihVvJfMjLAmec39IyEx_6qawtMGysU/edit?usp=sharing"",""สบก!DL93"")"),818850)</f>
        <v>818850</v>
      </c>
      <c r="N333" s="174">
        <f ca="1">IFERROR(__xludf.DUMMYFUNCTION("IMPORTRANGE(""https://docs.google.com/spreadsheets/d/1Yj_ptqi66GCucihVvJfMjLAmec39IyEx_6qawtMGysU/edit?usp=sharing"",""สบก!DM93"")"),597573.57)</f>
        <v>597573.56999999995</v>
      </c>
      <c r="O333" s="175">
        <f ca="1">IF(L333&gt;0,N333*100/L333,0)</f>
        <v>78.903224400871451</v>
      </c>
      <c r="P333" s="175">
        <f ca="1">IF(M333&gt;0,N333*100/M333,0)</f>
        <v>72.977171643158073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IFERROR(__xludf.DUMMYFUNCTION("IMPORTRANGE(""https://docs.google.com/spreadsheets/d/1Yj_ptqi66GCucihVvJfMjLAmec39IyEx_6qawtMGysU/edit?usp=sharing"",""สบก!DH93"")"),530800)</f>
        <v>530800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IFERROR(__xludf.DUMMYFUNCTION("IMPORTRANGE(""https://docs.google.com/spreadsheets/d/1Yj_ptqi66GCucihVvJfMjLAmec39IyEx_6qawtMGysU/edit?usp=sharing"",""สบก!DI93"")"),226550)</f>
        <v>226550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IFERROR(__xludf.DUMMYFUNCTION("IMPORTRANGE(""https://docs.google.com/spreadsheets/d/1IYY_tgx_IHuhSq3AJ5eI5OnqOPBNLWSHKh2a30DoXe8/edit?usp=sharing"",""สตูล!I234"")"),0)</f>
        <v>0</v>
      </c>
      <c r="J339" s="194">
        <f ca="1">IFERROR(__xludf.DUMMYFUNCTION("IMPORTRANGE(""https://docs.google.com/spreadsheets/d/1IYY_tgx_IHuhSq3AJ5eI5OnqOPBNLWSHKh2a30DoXe8/edit?usp=sharing"",""สตูล!J234"")"),107)</f>
        <v>107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IFERROR(__xludf.DUMMYFUNCTION("IMPORTRANGE(""https://docs.google.com/spreadsheets/d/1IYY_tgx_IHuhSq3AJ5eI5OnqOPBNLWSHKh2a30DoXe8/edit?usp=sharing"",""สตูล!I235"")"),480)</f>
        <v>480</v>
      </c>
      <c r="J340" s="194">
        <f ca="1">IFERROR(__xludf.DUMMYFUNCTION("IMPORTRANGE(""https://docs.google.com/spreadsheets/d/1IYY_tgx_IHuhSq3AJ5eI5OnqOPBNLWSHKh2a30DoXe8/edit?usp=sharing"",""สตูล!J235"")"),550.13)</f>
        <v>550.13</v>
      </c>
      <c r="K340" s="348">
        <f t="shared" ca="1" si="103"/>
        <v>114.61041666666667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IFERROR(__xludf.DUMMYFUNCTION("IMPORTRANGE(""https://docs.google.com/spreadsheets/d/1IYY_tgx_IHuhSq3AJ5eI5OnqOPBNLWSHKh2a30DoXe8/edit?usp=sharing"",""สตูล!I236"")"),50)</f>
        <v>50</v>
      </c>
      <c r="J341" s="194">
        <f ca="1">IFERROR(__xludf.DUMMYFUNCTION("IMPORTRANGE(""https://docs.google.com/spreadsheets/d/1IYY_tgx_IHuhSq3AJ5eI5OnqOPBNLWSHKh2a30DoXe8/edit?usp=sharing"",""สตูล!J236"")"),107)</f>
        <v>107</v>
      </c>
      <c r="K341" s="348">
        <f t="shared" ca="1" si="103"/>
        <v>214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4">
        <f ca="1">IFERROR(__xludf.DUMMYFUNCTION("IMPORTRANGE(""https://docs.google.com/spreadsheets/d/1IYY_tgx_IHuhSq3AJ5eI5OnqOPBNLWSHKh2a30DoXe8/edit?usp=sharing"",""สตูล!J237"")"),550.13)</f>
        <v>550.13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IFERROR(__xludf.DUMMYFUNCTION("IMPORTRANGE(""https://docs.google.com/spreadsheets/d/1IYY_tgx_IHuhSq3AJ5eI5OnqOPBNLWSHKh2a30DoXe8/edit?usp=sharing"",""สตูล!I238"")"),50)</f>
        <v>50</v>
      </c>
      <c r="J343" s="194">
        <f ca="1">IFERROR(__xludf.DUMMYFUNCTION("IMPORTRANGE(""https://docs.google.com/spreadsheets/d/1IYY_tgx_IHuhSq3AJ5eI5OnqOPBNLWSHKh2a30DoXe8/edit?usp=sharing"",""สตูล!J238"")"),42)</f>
        <v>42</v>
      </c>
      <c r="K343" s="348">
        <f t="shared" ca="1" si="103"/>
        <v>84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4">
        <f ca="1">IFERROR(__xludf.DUMMYFUNCTION("IMPORTRANGE(""https://docs.google.com/spreadsheets/d/1IYY_tgx_IHuhSq3AJ5eI5OnqOPBNLWSHKh2a30DoXe8/edit?usp=sharing"",""สตูล!J239"")"),227.51)</f>
        <v>227.51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IFERROR(__xludf.DUMMYFUNCTION("IMPORTRANGE(""https://docs.google.com/spreadsheets/d/1IYY_tgx_IHuhSq3AJ5eI5OnqOPBNLWSHKh2a30DoXe8/edit?usp=sharing"",""สตูล!I240"")"),50)</f>
        <v>50</v>
      </c>
      <c r="J345" s="194">
        <f ca="1">IFERROR(__xludf.DUMMYFUNCTION("IMPORTRANGE(""https://docs.google.com/spreadsheets/d/1IYY_tgx_IHuhSq3AJ5eI5OnqOPBNLWSHKh2a30DoXe8/edit?usp=sharing"",""สตูล!J240"")"),68)</f>
        <v>68</v>
      </c>
      <c r="K345" s="348">
        <f t="shared" ca="1" si="103"/>
        <v>136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4">
        <f ca="1">IFERROR(__xludf.DUMMYFUNCTION("IMPORTRANGE(""https://docs.google.com/spreadsheets/d/1IYY_tgx_IHuhSq3AJ5eI5OnqOPBNLWSHKh2a30DoXe8/edit?usp=sharing"",""สตูล!J241"")"),378.63)</f>
        <v>378.63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IFERROR(__xludf.DUMMYFUNCTION("IMPORTRANGE(""https://docs.google.com/spreadsheets/d/1IYY_tgx_IHuhSq3AJ5eI5OnqOPBNLWSHKh2a30DoXe8/edit?usp=sharing"",""สตูล!L242"")"),501476)</f>
        <v>501476</v>
      </c>
      <c r="M347" s="364"/>
      <c r="N347" s="364">
        <f ca="1">IFERROR(__xludf.DUMMYFUNCTION("IMPORTRANGE(""https://docs.google.com/spreadsheets/d/1IYY_tgx_IHuhSq3AJ5eI5OnqOPBNLWSHKh2a30DoXe8/edit?usp=sharing"",""สตูล!M242"")"),389518.36)</f>
        <v>389518.36</v>
      </c>
      <c r="O347" s="364">
        <f ca="1">+IF(L347&gt;0,N347*100/L347,0)</f>
        <v>77.674377238392267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IFERROR(__xludf.DUMMYFUNCTION("IMPORTRANGE(""https://docs.google.com/spreadsheets/d/1IYY_tgx_IHuhSq3AJ5eI5OnqOPBNLWSHKh2a30DoXe8/edit?usp=sharing"",""สตูล!L246"")"),0)</f>
        <v>0</v>
      </c>
      <c r="M351" s="168"/>
      <c r="N351" s="168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8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IFERROR(__xludf.DUMMYFUNCTION("IMPORTRANGE(""https://docs.google.com/spreadsheets/d/1IYY_tgx_IHuhSq3AJ5eI5OnqOPBNLWSHKh2a30DoXe8/edit?usp=sharing"",""สตูล!L248"")"),0)</f>
        <v>0</v>
      </c>
      <c r="M353" s="175"/>
      <c r="N353" s="175">
        <f ca="1">IFERROR(__xludf.DUMMYFUNCTION("IMPORTRANGE(""https://docs.google.com/spreadsheets/d/1IYY_tgx_IHuhSq3AJ5eI5OnqOPBNLWSHKh2a30DoXe8/edit?usp=sharing"",""สตูล!M248"")"),0)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IFERROR(__xludf.DUMMYFUNCTION("IMPORTRANGE(""https://docs.google.com/spreadsheets/d/1IYY_tgx_IHuhSq3AJ5eI5OnqOPBNLWSHKh2a30DoXe8/edit?usp=sharing"",""สตูล!L249"")"),0)</f>
        <v>0</v>
      </c>
      <c r="M354" s="175"/>
      <c r="N354" s="172">
        <f ca="1">IFERROR(__xludf.DUMMYFUNCTION("IMPORTRANGE(""https://docs.google.com/spreadsheets/d/1IYY_tgx_IHuhSq3AJ5eI5OnqOPBNLWSHKh2a30DoXe8/edit?usp=sharing"",""สตูล!M249"")"),0)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IFERROR(__xludf.DUMMYFUNCTION("IMPORTRANGE(""https://docs.google.com/spreadsheets/d/1IYY_tgx_IHuhSq3AJ5eI5OnqOPBNLWSHKh2a30DoXe8/edit?usp=sharing"",""สตูล!J255"")"),0)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IFERROR(__xludf.DUMMYFUNCTION("IMPORTRANGE(""https://docs.google.com/spreadsheets/d/1IYY_tgx_IHuhSq3AJ5eI5OnqOPBNLWSHKh2a30DoXe8/edit?usp=sharing"",""สตูล!J256"")"),0)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IFERROR(__xludf.DUMMYFUNCTION("IMPORTRANGE(""https://docs.google.com/spreadsheets/d/1IYY_tgx_IHuhSq3AJ5eI5OnqOPBNLWSHKh2a30DoXe8/edit?usp=sharing"",""สตูล!J257"")"),0)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IFERROR(__xludf.DUMMYFUNCTION("IMPORTRANGE(""https://docs.google.com/spreadsheets/d/1IYY_tgx_IHuhSq3AJ5eI5OnqOPBNLWSHKh2a30DoXe8/edit?usp=sharing"",""สตูล!J258"")"),0)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IFERROR(__xludf.DUMMYFUNCTION("IMPORTRANGE(""https://docs.google.com/spreadsheets/d/1IYY_tgx_IHuhSq3AJ5eI5OnqOPBNLWSHKh2a30DoXe8/edit?usp=sharing"",""สตูล!J166"")"),0)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IFERROR(__xludf.DUMMYFUNCTION("IMPORTRANGE(""https://docs.google.com/spreadsheets/d/1IYY_tgx_IHuhSq3AJ5eI5OnqOPBNLWSHKh2a30DoXe8/edit?usp=sharing"",""สตูล!J166"")"),0)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IFERROR(__xludf.DUMMYFUNCTION("IMPORTRANGE(""https://docs.google.com/spreadsheets/d/1IYY_tgx_IHuhSq3AJ5eI5OnqOPBNLWSHKh2a30DoXe8/edit?usp=sharing"",""สตูล!J166"")"),0)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IFERROR(__xludf.DUMMYFUNCTION("IMPORTRANGE(""https://docs.google.com/spreadsheets/d/1IYY_tgx_IHuhSq3AJ5eI5OnqOPBNLWSHKh2a30DoXe8/edit?usp=sharing"",""สตูล!J166"")"),0)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IFERROR(__xludf.DUMMYFUNCTION("IMPORTRANGE(""https://docs.google.com/spreadsheets/d/1IYY_tgx_IHuhSq3AJ5eI5OnqOPBNLWSHKh2a30DoXe8/edit?usp=sharing"",""สตูล!I263"")"),0)</f>
        <v>0</v>
      </c>
      <c r="J368" s="194">
        <f ca="1">IFERROR(__xludf.DUMMYFUNCTION("IMPORTRANGE(""https://docs.google.com/spreadsheets/d/1IYY_tgx_IHuhSq3AJ5eI5OnqOPBNLWSHKh2a30DoXe8/edit?usp=sharing"",""สตูล!J263"")"),0)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IFERROR(__xludf.DUMMYFUNCTION("IMPORTRANGE(""https://docs.google.com/spreadsheets/d/1IYY_tgx_IHuhSq3AJ5eI5OnqOPBNLWSHKh2a30DoXe8/edit?usp=sharing"",""สตูล!I164"")"),0)</f>
        <v>0</v>
      </c>
      <c r="J369" s="210">
        <f ca="1">IFERROR(__xludf.DUMMYFUNCTION("IMPORTRANGE(""https://docs.google.com/spreadsheets/d/1IYY_tgx_IHuhSq3AJ5eI5OnqOPBNLWSHKh2a30DoXe8/edit?usp=sharing"",""สตูล!J164"")"),0)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IFERROR(__xludf.DUMMYFUNCTION("IMPORTRANGE(""https://docs.google.com/spreadsheets/d/1IYY_tgx_IHuhSq3AJ5eI5OnqOPBNLWSHKh2a30DoXe8/edit?usp=sharing"",""สตูล!I265"")"),0)</f>
        <v>0</v>
      </c>
      <c r="J370" s="210">
        <f ca="1">IFERROR(__xludf.DUMMYFUNCTION("IMPORTRANGE(""https://docs.google.com/spreadsheets/d/1IYY_tgx_IHuhSq3AJ5eI5OnqOPBNLWSHKh2a30DoXe8/edit?usp=sharing"",""สตูล!J265"")"),0)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IFERROR(__xludf.DUMMYFUNCTION("IMPORTRANGE(""https://docs.google.com/spreadsheets/d/1IYY_tgx_IHuhSq3AJ5eI5OnqOPBNLWSHKh2a30DoXe8/edit?usp=sharing"",""สตูล!I164"")"),0)</f>
        <v>0</v>
      </c>
      <c r="J371" s="195">
        <f ca="1">IFERROR(__xludf.DUMMYFUNCTION("IMPORTRANGE(""https://docs.google.com/spreadsheets/d/1IYY_tgx_IHuhSq3AJ5eI5OnqOPBNLWSHKh2a30DoXe8/edit?usp=sharing"",""สตูล!J164"")"),0)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IFERROR(__xludf.DUMMYFUNCTION("IMPORTRANGE(""https://docs.google.com/spreadsheets/d/1IYY_tgx_IHuhSq3AJ5eI5OnqOPBNLWSHKh2a30DoXe8/edit?usp=sharing"",""สตูล!I267"")"),0)</f>
        <v>0</v>
      </c>
      <c r="J372" s="195">
        <f ca="1">IFERROR(__xludf.DUMMYFUNCTION("IMPORTRANGE(""https://docs.google.com/spreadsheets/d/1IYY_tgx_IHuhSq3AJ5eI5OnqOPBNLWSHKh2a30DoXe8/edit?usp=sharing"",""สตูล!J267"")"),0)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IFERROR(__xludf.DUMMYFUNCTION("IMPORTRANGE(""https://docs.google.com/spreadsheets/d/1IYY_tgx_IHuhSq3AJ5eI5OnqOPBNLWSHKh2a30DoXe8/edit?usp=sharing"",""สตูล!I164"")"),0)</f>
        <v>0</v>
      </c>
      <c r="J373" s="210">
        <f ca="1">IFERROR(__xludf.DUMMYFUNCTION("IMPORTRANGE(""https://docs.google.com/spreadsheets/d/1IYY_tgx_IHuhSq3AJ5eI5OnqOPBNLWSHKh2a30DoXe8/edit?usp=sharing"",""สตูล!J164"")"),0)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IFERROR(__xludf.DUMMYFUNCTION("IMPORTRANGE(""https://docs.google.com/spreadsheets/d/1IYY_tgx_IHuhSq3AJ5eI5OnqOPBNLWSHKh2a30DoXe8/edit?usp=sharing"",""สตูล!I164"")"),0)</f>
        <v>0</v>
      </c>
      <c r="J374" s="194">
        <f ca="1">IFERROR(__xludf.DUMMYFUNCTION("IMPORTRANGE(""https://docs.google.com/spreadsheets/d/1IYY_tgx_IHuhSq3AJ5eI5OnqOPBNLWSHKh2a30DoXe8/edit?usp=sharing"",""สตูล!J164"")"),0)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IFERROR(__xludf.DUMMYFUNCTION("IMPORTRANGE(""https://docs.google.com/spreadsheets/d/1IYY_tgx_IHuhSq3AJ5eI5OnqOPBNLWSHKh2a30DoXe8/edit?usp=sharing"",""สตูล!I270"")"),0)</f>
        <v>0</v>
      </c>
      <c r="J375" s="194">
        <f ca="1">IFERROR(__xludf.DUMMYFUNCTION("IMPORTRANGE(""https://docs.google.com/spreadsheets/d/1IYY_tgx_IHuhSq3AJ5eI5OnqOPBNLWSHKh2a30DoXe8/edit?usp=sharing"",""สตูล!J270"")"),0)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IFERROR(__xludf.DUMMYFUNCTION("IMPORTRANGE(""https://docs.google.com/spreadsheets/d/1IYY_tgx_IHuhSq3AJ5eI5OnqOPBNLWSHKh2a30DoXe8/edit?usp=sharing"",""สตูล!I271"")"),0)</f>
        <v>0</v>
      </c>
      <c r="J376" s="195">
        <f ca="1">IFERROR(__xludf.DUMMYFUNCTION("IMPORTRANGE(""https://docs.google.com/spreadsheets/d/1IYY_tgx_IHuhSq3AJ5eI5OnqOPBNLWSHKh2a30DoXe8/edit?usp=sharing"",""สตูล!J271"")"),0)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IFERROR(__xludf.DUMMYFUNCTION("IMPORTRANGE(""https://docs.google.com/spreadsheets/d/1IYY_tgx_IHuhSq3AJ5eI5OnqOPBNLWSHKh2a30DoXe8/edit?usp=sharing"",""สตูล!I272"")"),0)</f>
        <v>0</v>
      </c>
      <c r="J377" s="210">
        <f ca="1">IFERROR(__xludf.DUMMYFUNCTION("IMPORTRANGE(""https://docs.google.com/spreadsheets/d/1IYY_tgx_IHuhSq3AJ5eI5OnqOPBNLWSHKh2a30DoXe8/edit?usp=sharing"",""สตูล!J272"")"),0)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IFERROR(__xludf.DUMMYFUNCTION("IMPORTRANGE(""https://docs.google.com/spreadsheets/d/1IYY_tgx_IHuhSq3AJ5eI5OnqOPBNLWSHKh2a30DoXe8/edit?usp=sharing"",""สตูล!J273"")"),0)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IFERROR(__xludf.DUMMYFUNCTION("IMPORTRANGE(""https://docs.google.com/spreadsheets/d/1IYY_tgx_IHuhSq3AJ5eI5OnqOPBNLWSHKh2a30DoXe8/edit?usp=sharing"",""สตูล!J274"")"),0)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IFERROR(__xludf.DUMMYFUNCTION("IMPORTRANGE(""https://docs.google.com/spreadsheets/d/1IYY_tgx_IHuhSq3AJ5eI5OnqOPBNLWSHKh2a30DoXe8/edit?usp=sharing"",""สตูล!M275"")"),76100)</f>
        <v>76100</v>
      </c>
      <c r="O380" s="379">
        <f ca="1">+IF(L380&gt;0,N380*100/L380,0)</f>
        <v>86.763196898871286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IFERROR(__xludf.DUMMYFUNCTION("IMPORTRANGE(""https://docs.google.com/spreadsheets/d/1IYY_tgx_IHuhSq3AJ5eI5OnqOPBNLWSHKh2a30DoXe8/edit?usp=sharing"",""สตูล!L277"")"),0)</f>
        <v>0</v>
      </c>
      <c r="M382" s="168"/>
      <c r="N382" s="168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IFERROR(__xludf.DUMMYFUNCTION("IMPORTRANGE(""https://docs.google.com/spreadsheets/d/1IYY_tgx_IHuhSq3AJ5eI5OnqOPBNLWSHKh2a30DoXe8/edit?usp=sharing"",""สตูล!M278"")"),76100)</f>
        <v>76100</v>
      </c>
      <c r="O383" s="169">
        <f t="shared" ca="1" si="109"/>
        <v>86.763196898871286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IFERROR(__xludf.DUMMYFUNCTION("IMPORTRANGE(""https://docs.google.com/spreadsheets/d/1IYY_tgx_IHuhSq3AJ5eI5OnqOPBNLWSHKh2a30DoXe8/edit?usp=sharing"",""สตูล!L279"")"),0)</f>
        <v>0</v>
      </c>
      <c r="M384" s="175"/>
      <c r="N384" s="175">
        <f ca="1">IFERROR(__xludf.DUMMYFUNCTION("IMPORTRANGE(""https://docs.google.com/spreadsheets/d/1IYY_tgx_IHuhSq3AJ5eI5OnqOPBNLWSHKh2a30DoXe8/edit?usp=sharing"",""สตูล!M279"")"),0)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IFERROR(__xludf.DUMMYFUNCTION("IMPORTRANGE(""https://docs.google.com/spreadsheets/d/1IYY_tgx_IHuhSq3AJ5eI5OnqOPBNLWSHKh2a30DoXe8/edit?usp=sharing"",""สตูล!L280"")"),87710)</f>
        <v>87710</v>
      </c>
      <c r="M385" s="175"/>
      <c r="N385" s="172">
        <f ca="1">IFERROR(__xludf.DUMMYFUNCTION("IMPORTRANGE(""https://docs.google.com/spreadsheets/d/1IYY_tgx_IHuhSq3AJ5eI5OnqOPBNLWSHKh2a30DoXe8/edit?usp=sharing"",""สตูล!M280"")"),76100)</f>
        <v>76100</v>
      </c>
      <c r="O385" s="175">
        <f t="shared" ca="1" si="109"/>
        <v>86.763196898871286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IFERROR(__xludf.DUMMYFUNCTION("IMPORTRANGE(""https://docs.google.com/spreadsheets/d/1IYY_tgx_IHuhSq3AJ5eI5OnqOPBNLWSHKh2a30DoXe8/edit?usp=sharing"",""สตูล!M281"")"),32700)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IFERROR(__xludf.DUMMYFUNCTION("IMPORTRANGE(""https://docs.google.com/spreadsheets/d/1IYY_tgx_IHuhSq3AJ5eI5OnqOPBNLWSHKh2a30DoXe8/edit?usp=sharing"",""สตูล!M282"")"),31250)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IFERROR(__xludf.DUMMYFUNCTION("IMPORTRANGE(""https://docs.google.com/spreadsheets/d/1IYY_tgx_IHuhSq3AJ5eI5OnqOPBNLWSHKh2a30DoXe8/edit?usp=sharing"",""สตูล!M284"")"),12150)</f>
        <v>12150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IFERROR(__xludf.DUMMYFUNCTION("IMPORTRANGE(""https://docs.google.com/spreadsheets/d/1IYY_tgx_IHuhSq3AJ5eI5OnqOPBNLWSHKh2a30DoXe8/edit?usp=sharing"",""สตูล!J286"")"),0)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IFERROR(__xludf.DUMMYFUNCTION("IMPORTRANGE(""https://docs.google.com/spreadsheets/d/1IYY_tgx_IHuhSq3AJ5eI5OnqOPBNLWSHKh2a30DoXe8/edit?usp=sharing"",""สตูล!J287"")"),1)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IFERROR(__xludf.DUMMYFUNCTION("IMPORTRANGE(""https://docs.google.com/spreadsheets/d/1IYY_tgx_IHuhSq3AJ5eI5OnqOPBNLWSHKh2a30DoXe8/edit?usp=sharing"",""สตูล!J288"")"),1)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IFERROR(__xludf.DUMMYFUNCTION("IMPORTRANGE(""https://docs.google.com/spreadsheets/d/1IYY_tgx_IHuhSq3AJ5eI5OnqOPBNLWSHKh2a30DoXe8/edit?usp=sharing"",""สตูล!J289"")"),1)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IFERROR(__xludf.DUMMYFUNCTION("IMPORTRANGE(""https://docs.google.com/spreadsheets/d/1IYY_tgx_IHuhSq3AJ5eI5OnqOPBNLWSHKh2a30DoXe8/edit?usp=sharing"",""สตูล!I291"")"),5)</f>
        <v>5</v>
      </c>
      <c r="J396" s="204">
        <f ca="1">IFERROR(__xludf.DUMMYFUNCTION("IMPORTRANGE(""https://docs.google.com/spreadsheets/d/1IYY_tgx_IHuhSq3AJ5eI5OnqOPBNLWSHKh2a30DoXe8/edit?usp=sharing"",""สตูล!J291"")"),10)</f>
        <v>10</v>
      </c>
      <c r="K396" s="167">
        <f t="shared" ref="K396:K398" ca="1" si="110">IF(I396&gt;0,J396*100/I396,0)</f>
        <v>200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IFERROR(__xludf.DUMMYFUNCTION("IMPORTRANGE(""https://docs.google.com/spreadsheets/d/1IYY_tgx_IHuhSq3AJ5eI5OnqOPBNLWSHKh2a30DoXe8/edit?usp=sharing"",""สตูล!I292"")"),50)</f>
        <v>50</v>
      </c>
      <c r="J397" s="204">
        <f ca="1">IFERROR(__xludf.DUMMYFUNCTION("IMPORTRANGE(""https://docs.google.com/spreadsheets/d/1IYY_tgx_IHuhSq3AJ5eI5OnqOPBNLWSHKh2a30DoXe8/edit?usp=sharing"",""สตูล!J292"")"),50)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IFERROR(__xludf.DUMMYFUNCTION("IMPORTRANGE(""https://docs.google.com/spreadsheets/d/1IYY_tgx_IHuhSq3AJ5eI5OnqOPBNLWSHKh2a30DoXe8/edit?usp=sharing"",""สตูล!I293"")"),5)</f>
        <v>5</v>
      </c>
      <c r="J398" s="204">
        <f ca="1">IFERROR(__xludf.DUMMYFUNCTION("IMPORTRANGE(""https://docs.google.com/spreadsheets/d/1IYY_tgx_IHuhSq3AJ5eI5OnqOPBNLWSHKh2a30DoXe8/edit?usp=sharing"",""สตูล!J293"")"),5)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IFERROR(__xludf.DUMMYFUNCTION("IMPORTRANGE(""https://docs.google.com/spreadsheets/d/1IYY_tgx_IHuhSq3AJ5eI5OnqOPBNLWSHKh2a30DoXe8/edit?usp=sharing"",""สตูล!J294"")"),0)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IFERROR(__xludf.DUMMYFUNCTION("IMPORTRANGE(""https://docs.google.com/spreadsheets/d/1IYY_tgx_IHuhSq3AJ5eI5OnqOPBNLWSHKh2a30DoXe8/edit?usp=sharing"",""สตูล!J295"")"),0)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IFERROR(__xludf.DUMMYFUNCTION("IMPORTRANGE(""https://docs.google.com/spreadsheets/d/1IYY_tgx_IHuhSq3AJ5eI5OnqOPBNLWSHKh2a30DoXe8/edit?usp=sharing"",""สตูล!M296"")"),79232)</f>
        <v>79232</v>
      </c>
      <c r="O401" s="379">
        <f ca="1">+IF(L401&gt;0,N401*100/L401,0)</f>
        <v>97.074246508208773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IFERROR(__xludf.DUMMYFUNCTION("IMPORTRANGE(""https://docs.google.com/spreadsheets/d/1IYY_tgx_IHuhSq3AJ5eI5OnqOPBNLWSHKh2a30DoXe8/edit?usp=sharing"",""สตูล!L298"")"),0)</f>
        <v>0</v>
      </c>
      <c r="M403" s="168"/>
      <c r="N403" s="175">
        <f ca="1">IFERROR(__xludf.DUMMYFUNCTION("IMPORTRANGE(""https://docs.google.com/spreadsheets/d/1IYY_tgx_IHuhSq3AJ5eI5OnqOPBNLWSHKh2a30DoXe8/edit?usp=sharing"",""สตูล!M298"")"),0)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IFERROR(__xludf.DUMMYFUNCTION("IMPORTRANGE(""https://docs.google.com/spreadsheets/d/1IYY_tgx_IHuhSq3AJ5eI5OnqOPBNLWSHKh2a30DoXe8/edit?usp=sharing"",""สตูล!M299"")"),79232)</f>
        <v>79232</v>
      </c>
      <c r="O404" s="175">
        <f t="shared" ca="1" si="112"/>
        <v>97.074246508208773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IFERROR(__xludf.DUMMYFUNCTION("IMPORTRANGE(""https://docs.google.com/spreadsheets/d/1IYY_tgx_IHuhSq3AJ5eI5OnqOPBNLWSHKh2a30DoXe8/edit?usp=sharing"",""สตูล!L300"")"),0)</f>
        <v>0</v>
      </c>
      <c r="M405" s="175"/>
      <c r="N405" s="175">
        <f ca="1">IFERROR(__xludf.DUMMYFUNCTION("IMPORTRANGE(""https://docs.google.com/spreadsheets/d/1IYY_tgx_IHuhSq3AJ5eI5OnqOPBNLWSHKh2a30DoXe8/edit?usp=sharing"",""สตูล!M300"")"),0)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IFERROR(__xludf.DUMMYFUNCTION("IMPORTRANGE(""https://docs.google.com/spreadsheets/d/1IYY_tgx_IHuhSq3AJ5eI5OnqOPBNLWSHKh2a30DoXe8/edit?usp=sharing"",""สตูล!L301"")"),81620)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IFERROR(__xludf.DUMMYFUNCTION("IMPORTRANGE(""https://docs.google.com/spreadsheets/d/1IYY_tgx_IHuhSq3AJ5eI5OnqOPBNLWSHKh2a30DoXe8/edit?usp=sharing"",""สตูล!M301"")"),79232)</f>
        <v>79232</v>
      </c>
      <c r="O406" s="175">
        <f t="shared" ca="1" si="112"/>
        <v>97.074246508208773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IFERROR(__xludf.DUMMYFUNCTION("IMPORTRANGE(""https://docs.google.com/spreadsheets/d/1IYY_tgx_IHuhSq3AJ5eI5OnqOPBNLWSHKh2a30DoXe8/edit?usp=sharing"",""สตูล!M302"")"),26852)</f>
        <v>26852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IFERROR(__xludf.DUMMYFUNCTION("IMPORTRANGE(""https://docs.google.com/spreadsheets/d/1IYY_tgx_IHuhSq3AJ5eI5OnqOPBNLWSHKh2a30DoXe8/edit?usp=sharing"",""สตูล!M305"")"),37380)</f>
        <v>37380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IFERROR(__xludf.DUMMYFUNCTION("IMPORTRANGE(""https://docs.google.com/spreadsheets/d/1IYY_tgx_IHuhSq3AJ5eI5OnqOPBNLWSHKh2a30DoXe8/edit?usp=sharing"",""สตูล!J307"")"),0)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IFERROR(__xludf.DUMMYFUNCTION("IMPORTRANGE(""https://docs.google.com/spreadsheets/d/1IYY_tgx_IHuhSq3AJ5eI5OnqOPBNLWSHKh2a30DoXe8/edit?usp=sharing"",""สตูล!J308"")"),1)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IFERROR(__xludf.DUMMYFUNCTION("IMPORTRANGE(""https://docs.google.com/spreadsheets/d/1IYY_tgx_IHuhSq3AJ5eI5OnqOPBNLWSHKh2a30DoXe8/edit?usp=sharing"",""สตูล!J309"")"),1)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IFERROR(__xludf.DUMMYFUNCTION("IMPORTRANGE(""https://docs.google.com/spreadsheets/d/1IYY_tgx_IHuhSq3AJ5eI5OnqOPBNLWSHKh2a30DoXe8/edit?usp=sharing"",""สตูล!J310"")"),1)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IFERROR(__xludf.DUMMYFUNCTION("IMPORTRANGE(""https://docs.google.com/spreadsheets/d/1IYY_tgx_IHuhSq3AJ5eI5OnqOPBNLWSHKh2a30DoXe8/edit?usp=sharing"",""สตูล!I311"")"),25)</f>
        <v>25</v>
      </c>
      <c r="J416" s="207">
        <f ca="1">IFERROR(__xludf.DUMMYFUNCTION("IMPORTRANGE(""https://docs.google.com/spreadsheets/d/1IYY_tgx_IHuhSq3AJ5eI5OnqOPBNLWSHKh2a30DoXe8/edit?usp=sharing"",""สตูล!J311"")"),25)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IFERROR(__xludf.DUMMYFUNCTION("IMPORTRANGE(""https://docs.google.com/spreadsheets/d/1IYY_tgx_IHuhSq3AJ5eI5OnqOPBNLWSHKh2a30DoXe8/edit?usp=sharing"",""สตูล!J328"")"),0)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IFERROR(__xludf.DUMMYFUNCTION("IMPORTRANGE(""https://docs.google.com/spreadsheets/d/1IYY_tgx_IHuhSq3AJ5eI5OnqOPBNLWSHKh2a30DoXe8/edit?usp=sharing"",""สตูล!J329"")"),0)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IFERROR(__xludf.DUMMYFUNCTION("IMPORTRANGE(""https://docs.google.com/spreadsheets/d/1IYY_tgx_IHuhSq3AJ5eI5OnqOPBNLWSHKh2a30DoXe8/edit?usp=sharing"",""สตูล!M330"")"),72090)</f>
        <v>72090</v>
      </c>
      <c r="O435" s="418">
        <f t="shared" ref="O435:O439" ca="1" si="114">+IF(L435&gt;0,N435*100/L435,0)</f>
        <v>94.85526315789474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IFERROR(__xludf.DUMMYFUNCTION("IMPORTRANGE(""https://docs.google.com/spreadsheets/d/1IYY_tgx_IHuhSq3AJ5eI5OnqOPBNLWSHKh2a30DoXe8/edit?usp=sharing"",""สตูล!L331"")"),0)</f>
        <v>0</v>
      </c>
      <c r="M436" s="168"/>
      <c r="N436" s="175">
        <f ca="1">IFERROR(__xludf.DUMMYFUNCTION("IMPORTRANGE(""https://docs.google.com/spreadsheets/d/1IYY_tgx_IHuhSq3AJ5eI5OnqOPBNLWSHKh2a30DoXe8/edit?usp=sharing"",""สตูล!M331"")"),0)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IFERROR(__xludf.DUMMYFUNCTION("IMPORTRANGE(""https://docs.google.com/spreadsheets/d/1IYY_tgx_IHuhSq3AJ5eI5OnqOPBNLWSHKh2a30DoXe8/edit?usp=sharing"",""สตูล!L332"")"),76000)</f>
        <v>76000</v>
      </c>
      <c r="M437" s="169"/>
      <c r="N437" s="175">
        <f ca="1">IFERROR(__xludf.DUMMYFUNCTION("IMPORTRANGE(""https://docs.google.com/spreadsheets/d/1IYY_tgx_IHuhSq3AJ5eI5OnqOPBNLWSHKh2a30DoXe8/edit?usp=sharing"",""สตูล!M332"")"),72090)</f>
        <v>72090</v>
      </c>
      <c r="O437" s="175">
        <f t="shared" ca="1" si="114"/>
        <v>94.85526315789474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IFERROR(__xludf.DUMMYFUNCTION("IMPORTRANGE(""https://docs.google.com/spreadsheets/d/1IYY_tgx_IHuhSq3AJ5eI5OnqOPBNLWSHKh2a30DoXe8/edit?usp=sharing"",""สตูล!L333"")"),0)</f>
        <v>0</v>
      </c>
      <c r="M438" s="175"/>
      <c r="N438" s="175">
        <f ca="1">IFERROR(__xludf.DUMMYFUNCTION("IMPORTRANGE(""https://docs.google.com/spreadsheets/d/1IYY_tgx_IHuhSq3AJ5eI5OnqOPBNLWSHKh2a30DoXe8/edit?usp=sharing"",""สตูล!M333"")"),0)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IFERROR(__xludf.DUMMYFUNCTION("IMPORTRANGE(""https://docs.google.com/spreadsheets/d/1IYY_tgx_IHuhSq3AJ5eI5OnqOPBNLWSHKh2a30DoXe8/edit?usp=sharing"",""สตูล!L334"")"),76000)</f>
        <v>76000</v>
      </c>
      <c r="M439" s="175"/>
      <c r="N439" s="175">
        <f ca="1">IFERROR(__xludf.DUMMYFUNCTION("IMPORTRANGE(""https://docs.google.com/spreadsheets/d/1IYY_tgx_IHuhSq3AJ5eI5OnqOPBNLWSHKh2a30DoXe8/edit?usp=sharing"",""สตูล!M334"")"),72090)</f>
        <v>72090</v>
      </c>
      <c r="O439" s="175">
        <f t="shared" ca="1" si="114"/>
        <v>94.85526315789474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IFERROR(__xludf.DUMMYFUNCTION("IMPORTRANGE(""https://docs.google.com/spreadsheets/d/1IYY_tgx_IHuhSq3AJ5eI5OnqOPBNLWSHKh2a30DoXe8/edit?usp=sharing"",""สตูล!M338"")"),46890)</f>
        <v>46890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IFERROR(__xludf.DUMMYFUNCTION("IMPORTRANGE(""https://docs.google.com/spreadsheets/d/1IYY_tgx_IHuhSq3AJ5eI5OnqOPBNLWSHKh2a30DoXe8/edit?usp=sharing"",""สตูล!J340"")"),0)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IFERROR(__xludf.DUMMYFUNCTION("IMPORTRANGE(""https://docs.google.com/spreadsheets/d/1IYY_tgx_IHuhSq3AJ5eI5OnqOPBNLWSHKh2a30DoXe8/edit?usp=sharing"",""สตูล!J341"")"),1)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IFERROR(__xludf.DUMMYFUNCTION("IMPORTRANGE(""https://docs.google.com/spreadsheets/d/1IYY_tgx_IHuhSq3AJ5eI5OnqOPBNLWSHKh2a30DoXe8/edit?usp=sharing"",""สตูล!J342"")"),1)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IFERROR(__xludf.DUMMYFUNCTION("IMPORTRANGE(""https://docs.google.com/spreadsheets/d/1IYY_tgx_IHuhSq3AJ5eI5OnqOPBNLWSHKh2a30DoXe8/edit?usp=sharing"",""สตูล!J343"")"),1)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7">
        <f ca="1">IFERROR(__xludf.DUMMYFUNCTION("IMPORTRANGE(""https://docs.google.com/spreadsheets/d/1IYY_tgx_IHuhSq3AJ5eI5OnqOPBNLWSHKh2a30DoXe8/edit?usp=sharing"",""สตูล!J344"")"),10)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5">
        <f ca="1">IFERROR(__xludf.DUMMYFUNCTION("IMPORTRANGE(""https://docs.google.com/spreadsheets/d/1IYY_tgx_IHuhSq3AJ5eI5OnqOPBNLWSHKh2a30DoXe8/edit?usp=sharing"",""สตูล!J345"")"),10)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4">
        <f ca="1">IFERROR(__xludf.DUMMYFUNCTION("IMPORTRANGE(""https://docs.google.com/spreadsheets/d/1IYY_tgx_IHuhSq3AJ5eI5OnqOPBNLWSHKh2a30DoXe8/edit?usp=sharing"",""สตูล!J346"")"),0)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IFERROR(__xludf.DUMMYFUNCTION("IMPORTRANGE(""https://docs.google.com/spreadsheets/d/1IYY_tgx_IHuhSq3AJ5eI5OnqOPBNLWSHKh2a30DoXe8/edit?usp=sharing"",""สตูล!I347"")"),0)</f>
        <v>0</v>
      </c>
      <c r="J452" s="194">
        <f ca="1">IFERROR(__xludf.DUMMYFUNCTION("IMPORTRANGE(""https://docs.google.com/spreadsheets/d/1IYY_tgx_IHuhSq3AJ5eI5OnqOPBNLWSHKh2a30DoXe8/edit?usp=sharing"",""สตูล!J347"")"),0)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IFERROR(__xludf.DUMMYFUNCTION("IMPORTRANGE(""https://docs.google.com/spreadsheets/d/1IYY_tgx_IHuhSq3AJ5eI5OnqOPBNLWSHKh2a30DoXe8/edit?usp=sharing"",""สตูล!J348"")"),0)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IFERROR(__xludf.DUMMYFUNCTION("IMPORTRANGE(""https://docs.google.com/spreadsheets/d/1IYY_tgx_IHuhSq3AJ5eI5OnqOPBNLWSHKh2a30DoXe8/edit?usp=sharing"",""สตูล!J349"")"),0)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IFERROR(__xludf.DUMMYFUNCTION("IMPORTRANGE(""https://docs.google.com/spreadsheets/d/1IYY_tgx_IHuhSq3AJ5eI5OnqOPBNLWSHKh2a30DoXe8/edit?usp=sharing"",""สตูล!J350"")"),9867)</f>
        <v>9867</v>
      </c>
      <c r="K455" s="378">
        <f ca="1">IF(I455&gt;0,J455*100/I455,0)</f>
        <v>100.0202736948809</v>
      </c>
      <c r="L455" s="379">
        <f ca="1">IFERROR(__xludf.DUMMYFUNCTION("IMPORTRANGE(""https://docs.google.com/spreadsheets/d/1IYY_tgx_IHuhSq3AJ5eI5OnqOPBNLWSHKh2a30DoXe8/edit?usp=sharing"",""สตูล!L350"")"),90926)</f>
        <v>90926</v>
      </c>
      <c r="M455" s="379"/>
      <c r="N455" s="379">
        <f ca="1">IFERROR(__xludf.DUMMYFUNCTION("IMPORTRANGE(""https://docs.google.com/spreadsheets/d/1IYY_tgx_IHuhSq3AJ5eI5OnqOPBNLWSHKh2a30DoXe8/edit?usp=sharing"",""สตูล!M350"")"),84750.36)</f>
        <v>84750.36</v>
      </c>
      <c r="O455" s="379">
        <f t="shared" ref="O455:O459" ca="1" si="116">+IF(L455&gt;0,N455*100/L455,0)</f>
        <v>93.208059300970021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IFERROR(__xludf.DUMMYFUNCTION("IMPORTRANGE(""https://docs.google.com/spreadsheets/d/1IYY_tgx_IHuhSq3AJ5eI5OnqOPBNLWSHKh2a30DoXe8/edit?usp=sharing"",""สตูล!L351"")"),0)</f>
        <v>0</v>
      </c>
      <c r="M456" s="168"/>
      <c r="N456" s="175">
        <f ca="1">IFERROR(__xludf.DUMMYFUNCTION("IMPORTRANGE(""https://docs.google.com/spreadsheets/d/1IYY_tgx_IHuhSq3AJ5eI5OnqOPBNLWSHKh2a30DoXe8/edit?usp=sharing"",""สตูล!M351"")"),0)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IFERROR(__xludf.DUMMYFUNCTION("IMPORTRANGE(""https://docs.google.com/spreadsheets/d/1IYY_tgx_IHuhSq3AJ5eI5OnqOPBNLWSHKh2a30DoXe8/edit?usp=sharing"",""สตูล!L352"")"),90926)</f>
        <v>90926</v>
      </c>
      <c r="M457" s="169"/>
      <c r="N457" s="175">
        <f ca="1">IFERROR(__xludf.DUMMYFUNCTION("IMPORTRANGE(""https://docs.google.com/spreadsheets/d/1IYY_tgx_IHuhSq3AJ5eI5OnqOPBNLWSHKh2a30DoXe8/edit?usp=sharing"",""สตูล!M352"")"),84750.36)</f>
        <v>84750.36</v>
      </c>
      <c r="O457" s="175">
        <f t="shared" ca="1" si="116"/>
        <v>93.208059300970021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IFERROR(__xludf.DUMMYFUNCTION("IMPORTRANGE(""https://docs.google.com/spreadsheets/d/1IYY_tgx_IHuhSq3AJ5eI5OnqOPBNLWSHKh2a30DoXe8/edit?usp=sharing"",""สตูล!L353"")"),0)</f>
        <v>0</v>
      </c>
      <c r="M458" s="175"/>
      <c r="N458" s="175">
        <f ca="1">IFERROR(__xludf.DUMMYFUNCTION("IMPORTRANGE(""https://docs.google.com/spreadsheets/d/1IYY_tgx_IHuhSq3AJ5eI5OnqOPBNLWSHKh2a30DoXe8/edit?usp=sharing"",""สตูล!M353"")"),0)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IFERROR(__xludf.DUMMYFUNCTION("IMPORTRANGE(""https://docs.google.com/spreadsheets/d/1IYY_tgx_IHuhSq3AJ5eI5OnqOPBNLWSHKh2a30DoXe8/edit?usp=sharing"",""สตูล!L354"")"),90926)</f>
        <v>90926</v>
      </c>
      <c r="M459" s="175"/>
      <c r="N459" s="175">
        <f ca="1">IFERROR(__xludf.DUMMYFUNCTION("IMPORTRANGE(""https://docs.google.com/spreadsheets/d/1IYY_tgx_IHuhSq3AJ5eI5OnqOPBNLWSHKh2a30DoXe8/edit?usp=sharing"",""สตูล!M354"")"),84750.36)</f>
        <v>84750.36</v>
      </c>
      <c r="O459" s="175">
        <f t="shared" ca="1" si="116"/>
        <v>93.208059300970021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IFERROR(__xludf.DUMMYFUNCTION("IMPORTRANGE(""https://docs.google.com/spreadsheets/d/1IYY_tgx_IHuhSq3AJ5eI5OnqOPBNLWSHKh2a30DoXe8/edit?usp=sharing"",""สตูล!M355"")"),0)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IFERROR(__xludf.DUMMYFUNCTION("IMPORTRANGE(""https://docs.google.com/spreadsheets/d/1IYY_tgx_IHuhSq3AJ5eI5OnqOPBNLWSHKh2a30DoXe8/edit?usp=sharing"",""สตูล!M356"")"),0)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IFERROR(__xludf.DUMMYFUNCTION("IMPORTRANGE(""https://docs.google.com/spreadsheets/d/1IYY_tgx_IHuhSq3AJ5eI5OnqOPBNLWSHKh2a30DoXe8/edit?usp=sharing"",""สตูล!M358"")"),84750.36)</f>
        <v>84750.36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IFERROR(__xludf.DUMMYFUNCTION("IMPORTRANGE(""https://docs.google.com/spreadsheets/d/1IYY_tgx_IHuhSq3AJ5eI5OnqOPBNLWSHKh2a30DoXe8/edit?usp=sharing"",""สตูล!I359"")"),9865)</f>
        <v>9865</v>
      </c>
      <c r="J464" s="273">
        <f ca="1">IFERROR(__xludf.DUMMYFUNCTION("IMPORTRANGE(""https://docs.google.com/spreadsheets/d/1IYY_tgx_IHuhSq3AJ5eI5OnqOPBNLWSHKh2a30DoXe8/edit?usp=sharing"",""สตูล!J359"")"),9867)</f>
        <v>9867</v>
      </c>
      <c r="K464" s="274">
        <f t="shared" ref="K464:K515" ca="1" si="117">IF(I464&gt;0,J464*100/I464,0)</f>
        <v>100.0202736948809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IFERROR(__xludf.DUMMYFUNCTION("IMPORTRANGE(""https://docs.google.com/spreadsheets/d/1IYY_tgx_IHuhSq3AJ5eI5OnqOPBNLWSHKh2a30DoXe8/edit?usp=sharing"",""สตูล!J360"")"),9865)</f>
        <v>9865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IFERROR(__xludf.DUMMYFUNCTION("IMPORTRANGE(""https://docs.google.com/spreadsheets/d/1IYY_tgx_IHuhSq3AJ5eI5OnqOPBNLWSHKh2a30DoXe8/edit?usp=sharing"",""สตูล!J361"")"),1411)</f>
        <v>1411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IFERROR(__xludf.DUMMYFUNCTION("IMPORTRANGE(""https://docs.google.com/spreadsheets/d/1IYY_tgx_IHuhSq3AJ5eI5OnqOPBNLWSHKh2a30DoXe8/edit?usp=sharing"",""สตูล!I362"")"),0)</f>
        <v>0</v>
      </c>
      <c r="J467" s="195">
        <f ca="1">IFERROR(__xludf.DUMMYFUNCTION("IMPORTRANGE(""https://docs.google.com/spreadsheets/d/1IYY_tgx_IHuhSq3AJ5eI5OnqOPBNLWSHKh2a30DoXe8/edit?usp=sharing"",""สตูล!J362"")"),9292)</f>
        <v>9292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IFERROR(__xludf.DUMMYFUNCTION("IMPORTRANGE(""https://docs.google.com/spreadsheets/d/1IYY_tgx_IHuhSq3AJ5eI5OnqOPBNLWSHKh2a30DoXe8/edit?usp=sharing"",""สตูล!I363"")"),0)</f>
        <v>0</v>
      </c>
      <c r="J468" s="195">
        <f ca="1">IFERROR(__xludf.DUMMYFUNCTION("IMPORTRANGE(""https://docs.google.com/spreadsheets/d/1IYY_tgx_IHuhSq3AJ5eI5OnqOPBNLWSHKh2a30DoXe8/edit?usp=sharing"",""สตูล!J363"")"),1337)</f>
        <v>1337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IFERROR(__xludf.DUMMYFUNCTION("IMPORTRANGE(""https://docs.google.com/spreadsheets/d/1IYY_tgx_IHuhSq3AJ5eI5OnqOPBNLWSHKh2a30DoXe8/edit?usp=sharing"",""สตูล!I364"")"),0)</f>
        <v>0</v>
      </c>
      <c r="J469" s="195">
        <f ca="1">IFERROR(__xludf.DUMMYFUNCTION("IMPORTRANGE(""https://docs.google.com/spreadsheets/d/1IYY_tgx_IHuhSq3AJ5eI5OnqOPBNLWSHKh2a30DoXe8/edit?usp=sharing"",""สตูล!J364"")"),477)</f>
        <v>477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IFERROR(__xludf.DUMMYFUNCTION("IMPORTRANGE(""https://docs.google.com/spreadsheets/d/1IYY_tgx_IHuhSq3AJ5eI5OnqOPBNLWSHKh2a30DoXe8/edit?usp=sharing"",""สตูล!I365"")"),0)</f>
        <v>0</v>
      </c>
      <c r="J470" s="195">
        <f ca="1">IFERROR(__xludf.DUMMYFUNCTION("IMPORTRANGE(""https://docs.google.com/spreadsheets/d/1IYY_tgx_IHuhSq3AJ5eI5OnqOPBNLWSHKh2a30DoXe8/edit?usp=sharing"",""สตูล!J365"")"),57)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IFERROR(__xludf.DUMMYFUNCTION("IMPORTRANGE(""https://docs.google.com/spreadsheets/d/1IYY_tgx_IHuhSq3AJ5eI5OnqOPBNLWSHKh2a30DoXe8/edit?usp=sharing"",""สตูล!I366"")"),0)</f>
        <v>0</v>
      </c>
      <c r="J471" s="195">
        <f ca="1">IFERROR(__xludf.DUMMYFUNCTION("IMPORTRANGE(""https://docs.google.com/spreadsheets/d/1IYY_tgx_IHuhSq3AJ5eI5OnqOPBNLWSHKh2a30DoXe8/edit?usp=sharing"",""สตูล!J366"")"),96)</f>
        <v>96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IFERROR(__xludf.DUMMYFUNCTION("IMPORTRANGE(""https://docs.google.com/spreadsheets/d/1IYY_tgx_IHuhSq3AJ5eI5OnqOPBNLWSHKh2a30DoXe8/edit?usp=sharing"",""สตูล!I367"")"),0)</f>
        <v>0</v>
      </c>
      <c r="J472" s="195">
        <f ca="1">IFERROR(__xludf.DUMMYFUNCTION("IMPORTRANGE(""https://docs.google.com/spreadsheets/d/1IYY_tgx_IHuhSq3AJ5eI5OnqOPBNLWSHKh2a30DoXe8/edit?usp=sharing"",""สตูล!J367"")"),17)</f>
        <v>17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IFERROR(__xludf.DUMMYFUNCTION("IMPORTRANGE(""https://docs.google.com/spreadsheets/d/1IYY_tgx_IHuhSq3AJ5eI5OnqOPBNLWSHKh2a30DoXe8/edit?usp=sharing"",""สตูล!J368"")"),9867)</f>
        <v>9867</v>
      </c>
      <c r="K473" s="208">
        <f t="shared" ca="1" si="117"/>
        <v>100.0202736948809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IFERROR(__xludf.DUMMYFUNCTION("IMPORTRANGE(""https://docs.google.com/spreadsheets/d/1IYY_tgx_IHuhSq3AJ5eI5OnqOPBNLWSHKh2a30DoXe8/edit?usp=sharing"",""สตูล!J369"")"),1411)</f>
        <v>1411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IFERROR(__xludf.DUMMYFUNCTION("IMPORTRANGE(""https://docs.google.com/spreadsheets/d/1IYY_tgx_IHuhSq3AJ5eI5OnqOPBNLWSHKh2a30DoXe8/edit?usp=sharing"",""สตูล!I370"")"),0)</f>
        <v>0</v>
      </c>
      <c r="J475" s="195">
        <f ca="1">IFERROR(__xludf.DUMMYFUNCTION("IMPORTRANGE(""https://docs.google.com/spreadsheets/d/1IYY_tgx_IHuhSq3AJ5eI5OnqOPBNLWSHKh2a30DoXe8/edit?usp=sharing"",""สตูล!J370"")"),9340)</f>
        <v>9340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IFERROR(__xludf.DUMMYFUNCTION("IMPORTRANGE(""https://docs.google.com/spreadsheets/d/1IYY_tgx_IHuhSq3AJ5eI5OnqOPBNLWSHKh2a30DoXe8/edit?usp=sharing"",""สตูล!I371"")"),0)</f>
        <v>0</v>
      </c>
      <c r="J476" s="195">
        <f ca="1">IFERROR(__xludf.DUMMYFUNCTION("IMPORTRANGE(""https://docs.google.com/spreadsheets/d/1IYY_tgx_IHuhSq3AJ5eI5OnqOPBNLWSHKh2a30DoXe8/edit?usp=sharing"",""สตูล!J371"")"),1348)</f>
        <v>1348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IFERROR(__xludf.DUMMYFUNCTION("IMPORTRANGE(""https://docs.google.com/spreadsheets/d/1IYY_tgx_IHuhSq3AJ5eI5OnqOPBNLWSHKh2a30DoXe8/edit?usp=sharing"",""สตูล!I372"")"),0)</f>
        <v>0</v>
      </c>
      <c r="J477" s="195">
        <f ca="1">IFERROR(__xludf.DUMMYFUNCTION("IMPORTRANGE(""https://docs.google.com/spreadsheets/d/1IYY_tgx_IHuhSq3AJ5eI5OnqOPBNLWSHKh2a30DoXe8/edit?usp=sharing"",""สตูล!J372"")"),403)</f>
        <v>403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IFERROR(__xludf.DUMMYFUNCTION("IMPORTRANGE(""https://docs.google.com/spreadsheets/d/1IYY_tgx_IHuhSq3AJ5eI5OnqOPBNLWSHKh2a30DoXe8/edit?usp=sharing"",""สตูล!I373"")"),0)</f>
        <v>0</v>
      </c>
      <c r="J478" s="195">
        <f ca="1">IFERROR(__xludf.DUMMYFUNCTION("IMPORTRANGE(""https://docs.google.com/spreadsheets/d/1IYY_tgx_IHuhSq3AJ5eI5OnqOPBNLWSHKh2a30DoXe8/edit?usp=sharing"",""สตูล!J373"")"),43)</f>
        <v>43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IFERROR(__xludf.DUMMYFUNCTION("IMPORTRANGE(""https://docs.google.com/spreadsheets/d/1IYY_tgx_IHuhSq3AJ5eI5OnqOPBNLWSHKh2a30DoXe8/edit?usp=sharing"",""สตูล!I374"")"),0)</f>
        <v>0</v>
      </c>
      <c r="J479" s="195">
        <f ca="1">IFERROR(__xludf.DUMMYFUNCTION("IMPORTRANGE(""https://docs.google.com/spreadsheets/d/1IYY_tgx_IHuhSq3AJ5eI5OnqOPBNLWSHKh2a30DoXe8/edit?usp=sharing"",""สตูล!J374"")"),124)</f>
        <v>124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IFERROR(__xludf.DUMMYFUNCTION("IMPORTRANGE(""https://docs.google.com/spreadsheets/d/1IYY_tgx_IHuhSq3AJ5eI5OnqOPBNLWSHKh2a30DoXe8/edit?usp=sharing"",""สตูล!I375"")"),0)</f>
        <v>0</v>
      </c>
      <c r="J480" s="195">
        <f ca="1">IFERROR(__xludf.DUMMYFUNCTION("IMPORTRANGE(""https://docs.google.com/spreadsheets/d/1IYY_tgx_IHuhSq3AJ5eI5OnqOPBNLWSHKh2a30DoXe8/edit?usp=sharing"",""สตูล!J375"")"),20)</f>
        <v>20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IFERROR(__xludf.DUMMYFUNCTION("IMPORTRANGE(""https://docs.google.com/spreadsheets/d/1IYY_tgx_IHuhSq3AJ5eI5OnqOPBNLWSHKh2a30DoXe8/edit?usp=sharing"",""สตูล!J376"")"),9867)</f>
        <v>9867</v>
      </c>
      <c r="K481" s="208">
        <f t="shared" ca="1" si="117"/>
        <v>100.0202736948809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IFERROR(__xludf.DUMMYFUNCTION("IMPORTRANGE(""https://docs.google.com/spreadsheets/d/1IYY_tgx_IHuhSq3AJ5eI5OnqOPBNLWSHKh2a30DoXe8/edit?usp=sharing"",""สตูล!J377"")"),1411)</f>
        <v>1411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IFERROR(__xludf.DUMMYFUNCTION("IMPORTRANGE(""https://docs.google.com/spreadsheets/d/1IYY_tgx_IHuhSq3AJ5eI5OnqOPBNLWSHKh2a30DoXe8/edit?usp=sharing"",""สตูล!I378"")"),0)</f>
        <v>0</v>
      </c>
      <c r="J483" s="195">
        <f ca="1">IFERROR(__xludf.DUMMYFUNCTION("IMPORTRANGE(""https://docs.google.com/spreadsheets/d/1IYY_tgx_IHuhSq3AJ5eI5OnqOPBNLWSHKh2a30DoXe8/edit?usp=sharing"",""สตูล!J378"")"),9340)</f>
        <v>9340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IFERROR(__xludf.DUMMYFUNCTION("IMPORTRANGE(""https://docs.google.com/spreadsheets/d/1IYY_tgx_IHuhSq3AJ5eI5OnqOPBNLWSHKh2a30DoXe8/edit?usp=sharing"",""สตูล!I379"")"),0)</f>
        <v>0</v>
      </c>
      <c r="J484" s="195">
        <f ca="1">IFERROR(__xludf.DUMMYFUNCTION("IMPORTRANGE(""https://docs.google.com/spreadsheets/d/1IYY_tgx_IHuhSq3AJ5eI5OnqOPBNLWSHKh2a30DoXe8/edit?usp=sharing"",""สตูล!J379"")"),1348)</f>
        <v>1348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IFERROR(__xludf.DUMMYFUNCTION("IMPORTRANGE(""https://docs.google.com/spreadsheets/d/1IYY_tgx_IHuhSq3AJ5eI5OnqOPBNLWSHKh2a30DoXe8/edit?usp=sharing"",""สตูล!I380"")"),0)</f>
        <v>0</v>
      </c>
      <c r="J485" s="195">
        <f ca="1">IFERROR(__xludf.DUMMYFUNCTION("IMPORTRANGE(""https://docs.google.com/spreadsheets/d/1IYY_tgx_IHuhSq3AJ5eI5OnqOPBNLWSHKh2a30DoXe8/edit?usp=sharing"",""สตูล!J380"")"),403)</f>
        <v>403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IFERROR(__xludf.DUMMYFUNCTION("IMPORTRANGE(""https://docs.google.com/spreadsheets/d/1IYY_tgx_IHuhSq3AJ5eI5OnqOPBNLWSHKh2a30DoXe8/edit?usp=sharing"",""สตูล!I381"")"),0)</f>
        <v>0</v>
      </c>
      <c r="J486" s="195">
        <f ca="1">IFERROR(__xludf.DUMMYFUNCTION("IMPORTRANGE(""https://docs.google.com/spreadsheets/d/1IYY_tgx_IHuhSq3AJ5eI5OnqOPBNLWSHKh2a30DoXe8/edit?usp=sharing"",""สตูล!J381"")"),43)</f>
        <v>43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IFERROR(__xludf.DUMMYFUNCTION("IMPORTRANGE(""https://docs.google.com/spreadsheets/d/1IYY_tgx_IHuhSq3AJ5eI5OnqOPBNLWSHKh2a30DoXe8/edit?usp=sharing"",""สตูล!J382"")"),124)</f>
        <v>124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IFERROR(__xludf.DUMMYFUNCTION("IMPORTRANGE(""https://docs.google.com/spreadsheets/d/1IYY_tgx_IHuhSq3AJ5eI5OnqOPBNLWSHKh2a30DoXe8/edit?usp=sharing"",""สตูล!J383"")"),20)</f>
        <v>20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IFERROR(__xludf.DUMMYFUNCTION("IMPORTRANGE(""https://docs.google.com/spreadsheets/d/1IYY_tgx_IHuhSq3AJ5eI5OnqOPBNLWSHKh2a30DoXe8/edit?usp=sharing"",""สตูล!I384"")"),0)</f>
        <v>0</v>
      </c>
      <c r="J489" s="195">
        <f ca="1">IFERROR(__xludf.DUMMYFUNCTION("IMPORTRANGE(""https://docs.google.com/spreadsheets/d/1IYY_tgx_IHuhSq3AJ5eI5OnqOPBNLWSHKh2a30DoXe8/edit?usp=sharing"",""สตูล!J384"")"),116)</f>
        <v>116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IFERROR(__xludf.DUMMYFUNCTION("IMPORTRANGE(""https://docs.google.com/spreadsheets/d/1IYY_tgx_IHuhSq3AJ5eI5OnqOPBNLWSHKh2a30DoXe8/edit?usp=sharing"",""สตูล!I385"")"),0)</f>
        <v>0</v>
      </c>
      <c r="J490" s="195">
        <f ca="1">IFERROR(__xludf.DUMMYFUNCTION("IMPORTRANGE(""https://docs.google.com/spreadsheets/d/1IYY_tgx_IHuhSq3AJ5eI5OnqOPBNLWSHKh2a30DoXe8/edit?usp=sharing"",""สตูล!J385"")"),19)</f>
        <v>19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IFERROR(__xludf.DUMMYFUNCTION("IMPORTRANGE(""https://docs.google.com/spreadsheets/d/1IYY_tgx_IHuhSq3AJ5eI5OnqOPBNLWSHKh2a30DoXe8/edit?usp=sharing"",""สตูล!I386"")"),0)</f>
        <v>0</v>
      </c>
      <c r="J491" s="195">
        <f ca="1">IFERROR(__xludf.DUMMYFUNCTION("IMPORTRANGE(""https://docs.google.com/spreadsheets/d/1IYY_tgx_IHuhSq3AJ5eI5OnqOPBNLWSHKh2a30DoXe8/edit?usp=sharing"",""สตูล!J386"")"),8)</f>
        <v>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IFERROR(__xludf.DUMMYFUNCTION("IMPORTRANGE(""https://docs.google.com/spreadsheets/d/1IYY_tgx_IHuhSq3AJ5eI5OnqOPBNLWSHKh2a30DoXe8/edit?usp=sharing"",""สตูล!I387"")"),0)</f>
        <v>0</v>
      </c>
      <c r="J492" s="195">
        <f ca="1">IFERROR(__xludf.DUMMYFUNCTION("IMPORTRANGE(""https://docs.google.com/spreadsheets/d/1IYY_tgx_IHuhSq3AJ5eI5OnqOPBNLWSHKh2a30DoXe8/edit?usp=sharing"",""สตูล!J387"")"),1)</f>
        <v>1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IFERROR(__xludf.DUMMYFUNCTION("IMPORTRANGE(""https://docs.google.com/spreadsheets/d/1IYY_tgx_IHuhSq3AJ5eI5OnqOPBNLWSHKh2a30DoXe8/edit?usp=sharing"",""สตูล!I388"")"),0)</f>
        <v>0</v>
      </c>
      <c r="J493" s="195">
        <f ca="1">IFERROR(__xludf.DUMMYFUNCTION("IMPORTRANGE(""https://docs.google.com/spreadsheets/d/1IYY_tgx_IHuhSq3AJ5eI5OnqOPBNLWSHKh2a30DoXe8/edit?usp=sharing"",""สตูล!J388"")"),0)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IFERROR(__xludf.DUMMYFUNCTION("IMPORTRANGE(""https://docs.google.com/spreadsheets/d/1IYY_tgx_IHuhSq3AJ5eI5OnqOPBNLWSHKh2a30DoXe8/edit?usp=sharing"",""สตูล!I395"")"),0)</f>
        <v>0</v>
      </c>
      <c r="J500" s="166">
        <f ca="1">IFERROR(__xludf.DUMMYFUNCTION("IMPORTRANGE(""https://docs.google.com/spreadsheets/d/1IYY_tgx_IHuhSq3AJ5eI5OnqOPBNLWSHKh2a30DoXe8/edit?usp=sharing"",""สตูล!J395"")"),0)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IFERROR(__xludf.DUMMYFUNCTION("IMPORTRANGE(""https://docs.google.com/spreadsheets/d/1IYY_tgx_IHuhSq3AJ5eI5OnqOPBNLWSHKh2a30DoXe8/edit?usp=sharing"",""สตูล!I396"")"),0)</f>
        <v>0</v>
      </c>
      <c r="J501" s="166">
        <f ca="1">IFERROR(__xludf.DUMMYFUNCTION("IMPORTRANGE(""https://docs.google.com/spreadsheets/d/1IYY_tgx_IHuhSq3AJ5eI5OnqOPBNLWSHKh2a30DoXe8/edit?usp=sharing"",""สตูล!J396"")"),0)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IFERROR(__xludf.DUMMYFUNCTION("IMPORTRANGE(""https://docs.google.com/spreadsheets/d/1IYY_tgx_IHuhSq3AJ5eI5OnqOPBNLWSHKh2a30DoXe8/edit?usp=sharing"",""สตูล!I397"")"),0)</f>
        <v>0</v>
      </c>
      <c r="J502" s="195">
        <f ca="1">IFERROR(__xludf.DUMMYFUNCTION("IMPORTRANGE(""https://docs.google.com/spreadsheets/d/1IYY_tgx_IHuhSq3AJ5eI5OnqOPBNLWSHKh2a30DoXe8/edit?usp=sharing"",""สตูล!J397"")"),0)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IFERROR(__xludf.DUMMYFUNCTION("IMPORTRANGE(""https://docs.google.com/spreadsheets/d/1IYY_tgx_IHuhSq3AJ5eI5OnqOPBNLWSHKh2a30DoXe8/edit?usp=sharing"",""สตูล!I398"")"),0)</f>
        <v>0</v>
      </c>
      <c r="J503" s="204">
        <f ca="1">IFERROR(__xludf.DUMMYFUNCTION("IMPORTRANGE(""https://docs.google.com/spreadsheets/d/1IYY_tgx_IHuhSq3AJ5eI5OnqOPBNLWSHKh2a30DoXe8/edit?usp=sharing"",""สตูล!J398"")"),0)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IFERROR(__xludf.DUMMYFUNCTION("IMPORTRANGE(""https://docs.google.com/spreadsheets/d/1IYY_tgx_IHuhSq3AJ5eI5OnqOPBNLWSHKh2a30DoXe8/edit?usp=sharing"",""สตูล!I399"")"),0)</f>
        <v>0</v>
      </c>
      <c r="J504" s="195">
        <f ca="1">IFERROR(__xludf.DUMMYFUNCTION("IMPORTRANGE(""https://docs.google.com/spreadsheets/d/1IYY_tgx_IHuhSq3AJ5eI5OnqOPBNLWSHKh2a30DoXe8/edit?usp=sharing"",""สตูล!J399"")"),0)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IFERROR(__xludf.DUMMYFUNCTION("IMPORTRANGE(""https://docs.google.com/spreadsheets/d/1IYY_tgx_IHuhSq3AJ5eI5OnqOPBNLWSHKh2a30DoXe8/edit?usp=sharing"",""สตูล!I400"")"),0)</f>
        <v>0</v>
      </c>
      <c r="J505" s="204">
        <f ca="1">IFERROR(__xludf.DUMMYFUNCTION("IMPORTRANGE(""https://docs.google.com/spreadsheets/d/1IYY_tgx_IHuhSq3AJ5eI5OnqOPBNLWSHKh2a30DoXe8/edit?usp=sharing"",""สตูล!J400"")"),0)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IFERROR(__xludf.DUMMYFUNCTION("IMPORTRANGE(""https://docs.google.com/spreadsheets/d/1IYY_tgx_IHuhSq3AJ5eI5OnqOPBNLWSHKh2a30DoXe8/edit?usp=sharing"",""สตูล!I401"")"),0)</f>
        <v>0</v>
      </c>
      <c r="J506" s="195">
        <f ca="1">IFERROR(__xludf.DUMMYFUNCTION("IMPORTRANGE(""https://docs.google.com/spreadsheets/d/1IYY_tgx_IHuhSq3AJ5eI5OnqOPBNLWSHKh2a30DoXe8/edit?usp=sharing"",""สตูล!J401"")"),0)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IFERROR(__xludf.DUMMYFUNCTION("IMPORTRANGE(""https://docs.google.com/spreadsheets/d/1IYY_tgx_IHuhSq3AJ5eI5OnqOPBNLWSHKh2a30DoXe8/edit?usp=sharing"",""สตูล!I402"")"),0)</f>
        <v>0</v>
      </c>
      <c r="J507" s="204">
        <f ca="1">IFERROR(__xludf.DUMMYFUNCTION("IMPORTRANGE(""https://docs.google.com/spreadsheets/d/1IYY_tgx_IHuhSq3AJ5eI5OnqOPBNLWSHKh2a30DoXe8/edit?usp=sharing"",""สตูล!J402"")"),0)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IFERROR(__xludf.DUMMYFUNCTION("IMPORTRANGE(""https://docs.google.com/spreadsheets/d/1IYY_tgx_IHuhSq3AJ5eI5OnqOPBNLWSHKh2a30DoXe8/edit?usp=sharing"",""สตูล!I403"")"),0)</f>
        <v>0</v>
      </c>
      <c r="J508" s="166">
        <f ca="1">IFERROR(__xludf.DUMMYFUNCTION("IMPORTRANGE(""https://docs.google.com/spreadsheets/d/1IYY_tgx_IHuhSq3AJ5eI5OnqOPBNLWSHKh2a30DoXe8/edit?usp=sharing"",""สตูล!J403"")"),0)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IFERROR(__xludf.DUMMYFUNCTION("IMPORTRANGE(""https://docs.google.com/spreadsheets/d/1IYY_tgx_IHuhSq3AJ5eI5OnqOPBNLWSHKh2a30DoXe8/edit?usp=sharing"",""สตูล!I404"")"),0)</f>
        <v>0</v>
      </c>
      <c r="J509" s="166">
        <f ca="1">IFERROR(__xludf.DUMMYFUNCTION("IMPORTRANGE(""https://docs.google.com/spreadsheets/d/1IYY_tgx_IHuhSq3AJ5eI5OnqOPBNLWSHKh2a30DoXe8/edit?usp=sharing"",""สตูล!J404"")"),0)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IFERROR(__xludf.DUMMYFUNCTION("IMPORTRANGE(""https://docs.google.com/spreadsheets/d/1IYY_tgx_IHuhSq3AJ5eI5OnqOPBNLWSHKh2a30DoXe8/edit?usp=sharing"",""สตูล!I405"")"),0)</f>
        <v>0</v>
      </c>
      <c r="J510" s="204">
        <f ca="1">IFERROR(__xludf.DUMMYFUNCTION("IMPORTRANGE(""https://docs.google.com/spreadsheets/d/1IYY_tgx_IHuhSq3AJ5eI5OnqOPBNLWSHKh2a30DoXe8/edit?usp=sharing"",""สตูล!J405"")"),0)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IFERROR(__xludf.DUMMYFUNCTION("IMPORTRANGE(""https://docs.google.com/spreadsheets/d/1IYY_tgx_IHuhSq3AJ5eI5OnqOPBNLWSHKh2a30DoXe8/edit?usp=sharing"",""สตูล!I406"")"),0)</f>
        <v>0</v>
      </c>
      <c r="J511" s="204">
        <f ca="1">IFERROR(__xludf.DUMMYFUNCTION("IMPORTRANGE(""https://docs.google.com/spreadsheets/d/1IYY_tgx_IHuhSq3AJ5eI5OnqOPBNLWSHKh2a30DoXe8/edit?usp=sharing"",""สตูล!J406"")"),0)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IFERROR(__xludf.DUMMYFUNCTION("IMPORTRANGE(""https://docs.google.com/spreadsheets/d/1IYY_tgx_IHuhSq3AJ5eI5OnqOPBNLWSHKh2a30DoXe8/edit?usp=sharing"",""สตูล!I407"")"),0)</f>
        <v>0</v>
      </c>
      <c r="J512" s="204">
        <f ca="1">IFERROR(__xludf.DUMMYFUNCTION("IMPORTRANGE(""https://docs.google.com/spreadsheets/d/1IYY_tgx_IHuhSq3AJ5eI5OnqOPBNLWSHKh2a30DoXe8/edit?usp=sharing"",""สตูล!J407"")"),0)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IFERROR(__xludf.DUMMYFUNCTION("IMPORTRANGE(""https://docs.google.com/spreadsheets/d/1IYY_tgx_IHuhSq3AJ5eI5OnqOPBNLWSHKh2a30DoXe8/edit?usp=sharing"",""สตูล!I408"")"),0)</f>
        <v>0</v>
      </c>
      <c r="J513" s="204">
        <f ca="1">IFERROR(__xludf.DUMMYFUNCTION("IMPORTRANGE(""https://docs.google.com/spreadsheets/d/1IYY_tgx_IHuhSq3AJ5eI5OnqOPBNLWSHKh2a30DoXe8/edit?usp=sharing"",""สตูล!J408"")"),0)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IFERROR(__xludf.DUMMYFUNCTION("IMPORTRANGE(""https://docs.google.com/spreadsheets/d/1IYY_tgx_IHuhSq3AJ5eI5OnqOPBNLWSHKh2a30DoXe8/edit?usp=sharing"",""สตูล!I409"")"),0)</f>
        <v>0</v>
      </c>
      <c r="J514" s="204">
        <f ca="1">IFERROR(__xludf.DUMMYFUNCTION("IMPORTRANGE(""https://docs.google.com/spreadsheets/d/1IYY_tgx_IHuhSq3AJ5eI5OnqOPBNLWSHKh2a30DoXe8/edit?usp=sharing"",""สตูล!J409"")"),0)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IFERROR(__xludf.DUMMYFUNCTION("IMPORTRANGE(""https://docs.google.com/spreadsheets/d/1IYY_tgx_IHuhSq3AJ5eI5OnqOPBNLWSHKh2a30DoXe8/edit?usp=sharing"",""สตูล!I410"")"),0)</f>
        <v>0</v>
      </c>
      <c r="J515" s="204">
        <f ca="1">IFERROR(__xludf.DUMMYFUNCTION("IMPORTRANGE(""https://docs.google.com/spreadsheets/d/1IYY_tgx_IHuhSq3AJ5eI5OnqOPBNLWSHKh2a30DoXe8/edit?usp=sharing"",""สตูล!J410"")"),0)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IFERROR(__xludf.DUMMYFUNCTION("IMPORTRANGE(""https://docs.google.com/spreadsheets/d/1IYY_tgx_IHuhSq3AJ5eI5OnqOPBNLWSHKh2a30DoXe8/edit?usp=sharing"",""สตูล!I411"")"),0)</f>
        <v>0</v>
      </c>
      <c r="J516" s="273">
        <f ca="1">IFERROR(__xludf.DUMMYFUNCTION("IMPORTRANGE(""https://docs.google.com/spreadsheets/d/1IYY_tgx_IHuhSq3AJ5eI5OnqOPBNLWSHKh2a30DoXe8/edit?usp=sharing"",""สตูล!J411"")"),0)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IFERROR(__xludf.DUMMYFUNCTION("IMPORTRANGE(""https://docs.google.com/spreadsheets/d/1IYY_tgx_IHuhSq3AJ5eI5OnqOPBNLWSHKh2a30DoXe8/edit?usp=sharing"",""สตูล!I414"")"),0)</f>
        <v>0</v>
      </c>
      <c r="J519" s="194">
        <f ca="1">IFERROR(__xludf.DUMMYFUNCTION("IMPORTRANGE(""https://docs.google.com/spreadsheets/d/1IYY_tgx_IHuhSq3AJ5eI5OnqOPBNLWSHKh2a30DoXe8/edit?usp=sharing"",""สตูล!J414"")"),0)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IFERROR(__xludf.DUMMYFUNCTION("IMPORTRANGE(""https://docs.google.com/spreadsheets/d/1IYY_tgx_IHuhSq3AJ5eI5OnqOPBNLWSHKh2a30DoXe8/edit?usp=sharing"",""สตูล!I415"")"),0)</f>
        <v>0</v>
      </c>
      <c r="J520" s="194">
        <f ca="1">IFERROR(__xludf.DUMMYFUNCTION("IMPORTRANGE(""https://docs.google.com/spreadsheets/d/1IYY_tgx_IHuhSq3AJ5eI5OnqOPBNLWSHKh2a30DoXe8/edit?usp=sharing"",""สตูล!J415"")"),0)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IFERROR(__xludf.DUMMYFUNCTION("IMPORTRANGE(""https://docs.google.com/spreadsheets/d/1IYY_tgx_IHuhSq3AJ5eI5OnqOPBNLWSHKh2a30DoXe8/edit?usp=sharing"",""สตูล!I416"")"),0)</f>
        <v>0</v>
      </c>
      <c r="J521" s="194">
        <f ca="1">IFERROR(__xludf.DUMMYFUNCTION("IMPORTRANGE(""https://docs.google.com/spreadsheets/d/1IYY_tgx_IHuhSq3AJ5eI5OnqOPBNLWSHKh2a30DoXe8/edit?usp=sharing"",""สตูล!J416"")"),0)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IFERROR(__xludf.DUMMYFUNCTION("IMPORTRANGE(""https://docs.google.com/spreadsheets/d/1IYY_tgx_IHuhSq3AJ5eI5OnqOPBNLWSHKh2a30DoXe8/edit?usp=sharing"",""สตูล!I417"")"),0)</f>
        <v>0</v>
      </c>
      <c r="J522" s="194">
        <f ca="1">IFERROR(__xludf.DUMMYFUNCTION("IMPORTRANGE(""https://docs.google.com/spreadsheets/d/1IYY_tgx_IHuhSq3AJ5eI5OnqOPBNLWSHKh2a30DoXe8/edit?usp=sharing"",""สตูล!J417"")"),0)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IFERROR(__xludf.DUMMYFUNCTION("IMPORTRANGE(""https://docs.google.com/spreadsheets/d/1IYY_tgx_IHuhSq3AJ5eI5OnqOPBNLWSHKh2a30DoXe8/edit?usp=sharing"",""สตูล!I418"")"),0)</f>
        <v>0</v>
      </c>
      <c r="J523" s="194">
        <f ca="1">IFERROR(__xludf.DUMMYFUNCTION("IMPORTRANGE(""https://docs.google.com/spreadsheets/d/1IYY_tgx_IHuhSq3AJ5eI5OnqOPBNLWSHKh2a30DoXe8/edit?usp=sharing"",""สตูล!J418"")"),2)</f>
        <v>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IFERROR(__xludf.DUMMYFUNCTION("IMPORTRANGE(""https://docs.google.com/spreadsheets/d/1IYY_tgx_IHuhSq3AJ5eI5OnqOPBNLWSHKh2a30DoXe8/edit?usp=sharing"",""สตูล!I419"")"),0)</f>
        <v>0</v>
      </c>
      <c r="J524" s="194">
        <f ca="1">IFERROR(__xludf.DUMMYFUNCTION("IMPORTRANGE(""https://docs.google.com/spreadsheets/d/1IYY_tgx_IHuhSq3AJ5eI5OnqOPBNLWSHKh2a30DoXe8/edit?usp=sharing"",""สตูล!J419"")"),1)</f>
        <v>1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IFERROR(__xludf.DUMMYFUNCTION("IMPORTRANGE(""https://docs.google.com/spreadsheets/d/1IYY_tgx_IHuhSq3AJ5eI5OnqOPBNLWSHKh2a30DoXe8/edit?usp=sharing"",""สตูล!I422"")"),0)</f>
        <v>0</v>
      </c>
      <c r="J527" s="204">
        <f ca="1">IFERROR(__xludf.DUMMYFUNCTION("IMPORTRANGE(""https://docs.google.com/spreadsheets/d/1IYY_tgx_IHuhSq3AJ5eI5OnqOPBNLWSHKh2a30DoXe8/edit?usp=sharing"",""สตูล!J422"")"),0)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IFERROR(__xludf.DUMMYFUNCTION("IMPORTRANGE(""https://docs.google.com/spreadsheets/d/1IYY_tgx_IHuhSq3AJ5eI5OnqOPBNLWSHKh2a30DoXe8/edit?usp=sharing"",""สตูล!I423"")"),0)</f>
        <v>0</v>
      </c>
      <c r="J528" s="204">
        <f ca="1">IFERROR(__xludf.DUMMYFUNCTION("IMPORTRANGE(""https://docs.google.com/spreadsheets/d/1IYY_tgx_IHuhSq3AJ5eI5OnqOPBNLWSHKh2a30DoXe8/edit?usp=sharing"",""สตูล!J423"")"),0)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IFERROR(__xludf.DUMMYFUNCTION("IMPORTRANGE(""https://docs.google.com/spreadsheets/d/1IYY_tgx_IHuhSq3AJ5eI5OnqOPBNLWSHKh2a30DoXe8/edit?usp=sharing"",""สตูล!I424"")"),0)</f>
        <v>0</v>
      </c>
      <c r="J529" s="204">
        <f ca="1">IFERROR(__xludf.DUMMYFUNCTION("IMPORTRANGE(""https://docs.google.com/spreadsheets/d/1IYY_tgx_IHuhSq3AJ5eI5OnqOPBNLWSHKh2a30DoXe8/edit?usp=sharing"",""สตูล!J424"")"),0)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IFERROR(__xludf.DUMMYFUNCTION("IMPORTRANGE(""https://docs.google.com/spreadsheets/d/1IYY_tgx_IHuhSq3AJ5eI5OnqOPBNLWSHKh2a30DoXe8/edit?usp=sharing"",""สตูล!I425"")"),0)</f>
        <v>0</v>
      </c>
      <c r="J530" s="204">
        <f ca="1">IFERROR(__xludf.DUMMYFUNCTION("IMPORTRANGE(""https://docs.google.com/spreadsheets/d/1IYY_tgx_IHuhSq3AJ5eI5OnqOPBNLWSHKh2a30DoXe8/edit?usp=sharing"",""สตูล!J425"")"),0)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IFERROR(__xludf.DUMMYFUNCTION("IMPORTRANGE(""https://docs.google.com/spreadsheets/d/1IYY_tgx_IHuhSq3AJ5eI5OnqOPBNLWSHKh2a30DoXe8/edit?usp=sharing"",""สตูล!I426"")"),0)</f>
        <v>0</v>
      </c>
      <c r="J531" s="204">
        <f ca="1">IFERROR(__xludf.DUMMYFUNCTION("IMPORTRANGE(""https://docs.google.com/spreadsheets/d/1IYY_tgx_IHuhSq3AJ5eI5OnqOPBNLWSHKh2a30DoXe8/edit?usp=sharing"",""สตูล!J426"")"),0)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IFERROR(__xludf.DUMMYFUNCTION("IMPORTRANGE(""https://docs.google.com/spreadsheets/d/1IYY_tgx_IHuhSq3AJ5eI5OnqOPBNLWSHKh2a30DoXe8/edit?usp=sharing"",""สตูล!M428"")"),25360)</f>
        <v>25360</v>
      </c>
      <c r="O533" s="418">
        <f t="shared" ref="O533:O537" ca="1" si="118">+IF(L533&gt;0,N533*100/L533,0)</f>
        <v>77.696078431372555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IFERROR(__xludf.DUMMYFUNCTION("IMPORTRANGE(""https://docs.google.com/spreadsheets/d/1IYY_tgx_IHuhSq3AJ5eI5OnqOPBNLWSHKh2a30DoXe8/edit?usp=sharing"",""สตูล!L429"")"),0)</f>
        <v>0</v>
      </c>
      <c r="M534" s="168"/>
      <c r="N534" s="175">
        <f ca="1">IFERROR(__xludf.DUMMYFUNCTION("IMPORTRANGE(""https://docs.google.com/spreadsheets/d/1IYY_tgx_IHuhSq3AJ5eI5OnqOPBNLWSHKh2a30DoXe8/edit?usp=sharing"",""สตูล!M429"")"),0)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IFERROR(__xludf.DUMMYFUNCTION("IMPORTRANGE(""https://docs.google.com/spreadsheets/d/1IYY_tgx_IHuhSq3AJ5eI5OnqOPBNLWSHKh2a30DoXe8/edit?usp=sharing"",""สตูล!L430"")"),32640)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IFERROR(__xludf.DUMMYFUNCTION("IMPORTRANGE(""https://docs.google.com/spreadsheets/d/1IYY_tgx_IHuhSq3AJ5eI5OnqOPBNLWSHKh2a30DoXe8/edit?usp=sharing"",""สตูล!M430"")"),25360)</f>
        <v>25360</v>
      </c>
      <c r="O535" s="175">
        <f t="shared" ca="1" si="118"/>
        <v>77.696078431372555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IFERROR(__xludf.DUMMYFUNCTION("IMPORTRANGE(""https://docs.google.com/spreadsheets/d/1IYY_tgx_IHuhSq3AJ5eI5OnqOPBNLWSHKh2a30DoXe8/edit?usp=sharing"",""สตูล!L431"")"),0)</f>
        <v>0</v>
      </c>
      <c r="M536" s="175"/>
      <c r="N536" s="175">
        <f ca="1">IFERROR(__xludf.DUMMYFUNCTION("IMPORTRANGE(""https://docs.google.com/spreadsheets/d/1IYY_tgx_IHuhSq3AJ5eI5OnqOPBNLWSHKh2a30DoXe8/edit?usp=sharing"",""สตูล!M431"")"),0)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IFERROR(__xludf.DUMMYFUNCTION("IMPORTRANGE(""https://docs.google.com/spreadsheets/d/1IYY_tgx_IHuhSq3AJ5eI5OnqOPBNLWSHKh2a30DoXe8/edit?usp=sharing"",""สตูล!L432"")"),32640)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IFERROR(__xludf.DUMMYFUNCTION("IMPORTRANGE(""https://docs.google.com/spreadsheets/d/1IYY_tgx_IHuhSq3AJ5eI5OnqOPBNLWSHKh2a30DoXe8/edit?usp=sharing"",""สตูล!M432"")"),25360)</f>
        <v>25360</v>
      </c>
      <c r="O537" s="175">
        <f t="shared" ca="1" si="118"/>
        <v>77.696078431372555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IFERROR(__xludf.DUMMYFUNCTION("IMPORTRANGE(""https://docs.google.com/spreadsheets/d/1IYY_tgx_IHuhSq3AJ5eI5OnqOPBNLWSHKh2a30DoXe8/edit?usp=sharing"",""สตูล!M436"")"),8320)</f>
        <v>8320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IFERROR(__xludf.DUMMYFUNCTION("IMPORTRANGE(""https://docs.google.com/spreadsheets/d/1IYY_tgx_IHuhSq3AJ5eI5OnqOPBNLWSHKh2a30DoXe8/edit?usp=sharing"",""สตูล!J438"")"),0)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IFERROR(__xludf.DUMMYFUNCTION("IMPORTRANGE(""https://docs.google.com/spreadsheets/d/1IYY_tgx_IHuhSq3AJ5eI5OnqOPBNLWSHKh2a30DoXe8/edit?usp=sharing"",""สตูล!J439"")"),1)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IFERROR(__xludf.DUMMYFUNCTION("IMPORTRANGE(""https://docs.google.com/spreadsheets/d/1IYY_tgx_IHuhSq3AJ5eI5OnqOPBNLWSHKh2a30DoXe8/edit?usp=sharing"",""สตูล!J440"")"),1)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IFERROR(__xludf.DUMMYFUNCTION("IMPORTRANGE(""https://docs.google.com/spreadsheets/d/1IYY_tgx_IHuhSq3AJ5eI5OnqOPBNLWSHKh2a30DoXe8/edit?usp=sharing"",""สตูล!J441"")"),1)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IFERROR(__xludf.DUMMYFUNCTION("IMPORTRANGE(""https://docs.google.com/spreadsheets/d/1IYY_tgx_IHuhSq3AJ5eI5OnqOPBNLWSHKh2a30DoXe8/edit?usp=sharing"",""สตูล!I442"")"),20)</f>
        <v>20</v>
      </c>
      <c r="J547" s="195">
        <f ca="1">IFERROR(__xludf.DUMMYFUNCTION("IMPORTRANGE(""https://docs.google.com/spreadsheets/d/1IYY_tgx_IHuhSq3AJ5eI5OnqOPBNLWSHKh2a30DoXe8/edit?usp=sharing"",""สตูล!J442"")"),20)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IFERROR(__xludf.DUMMYFUNCTION("IMPORTRANGE(""https://docs.google.com/spreadsheets/d/1IYY_tgx_IHuhSq3AJ5eI5OnqOPBNLWSHKh2a30DoXe8/edit?usp=sharing"",""สตูล!J166"")"),0)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IFERROR(__xludf.DUMMYFUNCTION("IMPORTRANGE(""https://docs.google.com/spreadsheets/d/1IYY_tgx_IHuhSq3AJ5eI5OnqOPBNLWSHKh2a30DoXe8/edit?usp=sharing"",""สตูล!J444"")"),0)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IFERROR(__xludf.DUMMYFUNCTION("IMPORTRANGE(""https://docs.google.com/spreadsheets/d/1IYY_tgx_IHuhSq3AJ5eI5OnqOPBNLWSHKh2a30DoXe8/edit?usp=sharing"",""สตูล!L447"")"),0)</f>
        <v>0</v>
      </c>
      <c r="M552" s="168"/>
      <c r="N552" s="175">
        <f ca="1">IFERROR(__xludf.DUMMYFUNCTION("IMPORTRANGE(""https://docs.google.com/spreadsheets/d/1IYY_tgx_IHuhSq3AJ5eI5OnqOPBNLWSHKh2a30DoXe8/edit?usp=sharing"",""สตูล!M447"")"),0)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5">
        <f ca="1">IFERROR(__xludf.DUMMYFUNCTION("IMPORTRANGE(""https://docs.google.com/spreadsheets/d/1IYY_tgx_IHuhSq3AJ5eI5OnqOPBNLWSHKh2a30DoXe8/edit?usp=sharing"",""สตูล!M448"")"),0)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IFERROR(__xludf.DUMMYFUNCTION("IMPORTRANGE(""https://docs.google.com/spreadsheets/d/1IYY_tgx_IHuhSq3AJ5eI5OnqOPBNLWSHKh2a30DoXe8/edit?usp=sharing"",""สตูล!L449"")"),0)</f>
        <v>0</v>
      </c>
      <c r="M554" s="175"/>
      <c r="N554" s="175">
        <f ca="1">IFERROR(__xludf.DUMMYFUNCTION("IMPORTRANGE(""https://docs.google.com/spreadsheets/d/1IYY_tgx_IHuhSq3AJ5eI5OnqOPBNLWSHKh2a30DoXe8/edit?usp=sharing"",""สตูล!M449"")"),0)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IFERROR(__xludf.DUMMYFUNCTION("IMPORTRANGE(""https://docs.google.com/spreadsheets/d/1IYY_tgx_IHuhSq3AJ5eI5OnqOPBNLWSHKh2a30DoXe8/edit?usp=sharing"",""สตูล!L450"")"),0)</f>
        <v>0</v>
      </c>
      <c r="M555" s="175"/>
      <c r="N555" s="175">
        <f ca="1">IFERROR(__xludf.DUMMYFUNCTION("IMPORTRANGE(""https://docs.google.com/spreadsheets/d/1IYY_tgx_IHuhSq3AJ5eI5OnqOPBNLWSHKh2a30DoXe8/edit?usp=sharing"",""สตูล!M450"")"),0)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IFERROR(__xludf.DUMMYFUNCTION("IMPORTRANGE(""https://docs.google.com/spreadsheets/d/1IYY_tgx_IHuhSq3AJ5eI5OnqOPBNLWSHKh2a30DoXe8/edit?usp=sharing"",""สตูล!M451"")"),0)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IFERROR(__xludf.DUMMYFUNCTION("IMPORTRANGE(""https://docs.google.com/spreadsheets/d/1IYY_tgx_IHuhSq3AJ5eI5OnqOPBNLWSHKh2a30DoXe8/edit?usp=sharing"",""สตูล!M452"")"),0)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IFERROR(__xludf.DUMMYFUNCTION("IMPORTRANGE(""https://docs.google.com/spreadsheets/d/1IYY_tgx_IHuhSq3AJ5eI5OnqOPBNLWSHKh2a30DoXe8/edit?usp=sharing"",""สตูล!M453"")"),0)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IFERROR(__xludf.DUMMYFUNCTION("IMPORTRANGE(""https://docs.google.com/spreadsheets/d/1IYY_tgx_IHuhSq3AJ5eI5OnqOPBNLWSHKh2a30DoXe8/edit?usp=sharing"",""สตูล!M454"")"),0)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IFERROR(__xludf.DUMMYFUNCTION("IMPORTRANGE(""https://docs.google.com/spreadsheets/d/1IYY_tgx_IHuhSq3AJ5eI5OnqOPBNLWSHKh2a30DoXe8/edit?usp=sharing"",""สตูล!I455"")"),0)</f>
        <v>0</v>
      </c>
      <c r="J560" s="166">
        <f ca="1">IFERROR(__xludf.DUMMYFUNCTION("IMPORTRANGE(""https://docs.google.com/spreadsheets/d/1IYY_tgx_IHuhSq3AJ5eI5OnqOPBNLWSHKh2a30DoXe8/edit?usp=sharing"",""สตูล!J455"")"),0)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IFERROR(__xludf.DUMMYFUNCTION("IMPORTRANGE(""https://docs.google.com/spreadsheets/d/1IYY_tgx_IHuhSq3AJ5eI5OnqOPBNLWSHKh2a30DoXe8/edit?usp=sharing"",""สตูล!I456"")"),0)</f>
        <v>0</v>
      </c>
      <c r="J561" s="210">
        <f ca="1">IFERROR(__xludf.DUMMYFUNCTION("IMPORTRANGE(""https://docs.google.com/spreadsheets/d/1IYY_tgx_IHuhSq3AJ5eI5OnqOPBNLWSHKh2a30DoXe8/edit?usp=sharing"",""สตูล!J456"")"),0)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IFERROR(__xludf.DUMMYFUNCTION("IMPORTRANGE(""https://docs.google.com/spreadsheets/d/1IYY_tgx_IHuhSq3AJ5eI5OnqOPBNLWSHKh2a30DoXe8/edit?usp=sharing"",""สตูล!J459"")"),328)</f>
        <v>328</v>
      </c>
      <c r="K564" s="378">
        <f ca="1">IF(I564&gt;0,J564*100/I564,0)</f>
        <v>164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IFERROR(__xludf.DUMMYFUNCTION("IMPORTRANGE(""https://docs.google.com/spreadsheets/d/1IYY_tgx_IHuhSq3AJ5eI5OnqOPBNLWSHKh2a30DoXe8/edit?usp=sharing"",""สตูล!M459"")"),50846)</f>
        <v>50846</v>
      </c>
      <c r="O564" s="379">
        <f t="shared" ref="O564:O568" ca="1" si="122">+IF(L564&gt;0,N564*100/L564,0)</f>
        <v>40.846722365038559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IFERROR(__xludf.DUMMYFUNCTION("IMPORTRANGE(""https://docs.google.com/spreadsheets/d/1IYY_tgx_IHuhSq3AJ5eI5OnqOPBNLWSHKh2a30DoXe8/edit?usp=sharing"",""สตูล!L460"")"),0)</f>
        <v>0</v>
      </c>
      <c r="M565" s="168"/>
      <c r="N565" s="175">
        <f ca="1">IFERROR(__xludf.DUMMYFUNCTION("IMPORTRANGE(""https://docs.google.com/spreadsheets/d/1IYY_tgx_IHuhSq3AJ5eI5OnqOPBNLWSHKh2a30DoXe8/edit?usp=sharing"",""สตูล!M460"")"),0)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5">
        <f ca="1">IFERROR(__xludf.DUMMYFUNCTION("IMPORTRANGE(""https://docs.google.com/spreadsheets/d/1IYY_tgx_IHuhSq3AJ5eI5OnqOPBNLWSHKh2a30DoXe8/edit?usp=sharing"",""สตูล!M461"")"),50846)</f>
        <v>50846</v>
      </c>
      <c r="O566" s="175">
        <f t="shared" ca="1" si="122"/>
        <v>40.846722365038559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IFERROR(__xludf.DUMMYFUNCTION("IMPORTRANGE(""https://docs.google.com/spreadsheets/d/1IYY_tgx_IHuhSq3AJ5eI5OnqOPBNLWSHKh2a30DoXe8/edit?usp=sharing"",""สตูล!L462"")"),0)</f>
        <v>0</v>
      </c>
      <c r="M567" s="175"/>
      <c r="N567" s="175">
        <f ca="1">IFERROR(__xludf.DUMMYFUNCTION("IMPORTRANGE(""https://docs.google.com/spreadsheets/d/1IYY_tgx_IHuhSq3AJ5eI5OnqOPBNLWSHKh2a30DoXe8/edit?usp=sharing"",""สตูล!M462"")"),0)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IFERROR(__xludf.DUMMYFUNCTION("IMPORTRANGE(""https://docs.google.com/spreadsheets/d/1IYY_tgx_IHuhSq3AJ5eI5OnqOPBNLWSHKh2a30DoXe8/edit?usp=sharing"",""สตูล!L463"")"),124480)</f>
        <v>124480</v>
      </c>
      <c r="M568" s="175"/>
      <c r="N568" s="175">
        <f ca="1">IFERROR(__xludf.DUMMYFUNCTION("IMPORTRANGE(""https://docs.google.com/spreadsheets/d/1IYY_tgx_IHuhSq3AJ5eI5OnqOPBNLWSHKh2a30DoXe8/edit?usp=sharing"",""สตูล!M463"")"),50846)</f>
        <v>50846</v>
      </c>
      <c r="O568" s="175">
        <f t="shared" ca="1" si="122"/>
        <v>40.846722365038559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IFERROR(__xludf.DUMMYFUNCTION("IMPORTRANGE(""https://docs.google.com/spreadsheets/d/1IYY_tgx_IHuhSq3AJ5eI5OnqOPBNLWSHKh2a30DoXe8/edit?usp=sharing"",""สตูล!M464"")"),0)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IFERROR(__xludf.DUMMYFUNCTION("IMPORTRANGE(""https://docs.google.com/spreadsheets/d/1IYY_tgx_IHuhSq3AJ5eI5OnqOPBNLWSHKh2a30DoXe8/edit?usp=sharing"",""สตูล!M465"")"),0)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IFERROR(__xludf.DUMMYFUNCTION("IMPORTRANGE(""https://docs.google.com/spreadsheets/d/1IYY_tgx_IHuhSq3AJ5eI5OnqOPBNLWSHKh2a30DoXe8/edit?usp=sharing"",""สตูล!M467"")"),50846)</f>
        <v>50846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IFERROR(__xludf.DUMMYFUNCTION("IMPORTRANGE(""https://docs.google.com/spreadsheets/d/1IYY_tgx_IHuhSq3AJ5eI5OnqOPBNLWSHKh2a30DoXe8/edit?usp=sharing"",""สตูล!J468"")"),328)</f>
        <v>328</v>
      </c>
      <c r="K573" s="208">
        <f ca="1">IF(I573&gt;0,J573*100/I573,0)</f>
        <v>164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IFERROR(__xludf.DUMMYFUNCTION("IMPORTRANGE(""https://docs.google.com/spreadsheets/d/1IYY_tgx_IHuhSq3AJ5eI5OnqOPBNLWSHKh2a30DoXe8/edit?usp=sharing"",""สตูล!I470"")"),0)</f>
        <v>0</v>
      </c>
      <c r="J575" s="204">
        <f ca="1">IFERROR(__xludf.DUMMYFUNCTION("IMPORTRANGE(""https://docs.google.com/spreadsheets/d/1IYY_tgx_IHuhSq3AJ5eI5OnqOPBNLWSHKh2a30DoXe8/edit?usp=sharing"",""สตูล!J470"")"),7)</f>
        <v>7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IFERROR(__xludf.DUMMYFUNCTION("IMPORTRANGE(""https://docs.google.com/spreadsheets/d/1IYY_tgx_IHuhSq3AJ5eI5OnqOPBNLWSHKh2a30DoXe8/edit?usp=sharing"",""สตูล!I471"")"),0)</f>
        <v>0</v>
      </c>
      <c r="J576" s="204">
        <f ca="1">IFERROR(__xludf.DUMMYFUNCTION("IMPORTRANGE(""https://docs.google.com/spreadsheets/d/1IYY_tgx_IHuhSq3AJ5eI5OnqOPBNLWSHKh2a30DoXe8/edit?usp=sharing"",""สตูล!J471"")"),99)</f>
        <v>99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IFERROR(__xludf.DUMMYFUNCTION("IMPORTRANGE(""https://docs.google.com/spreadsheets/d/1IYY_tgx_IHuhSq3AJ5eI5OnqOPBNLWSHKh2a30DoXe8/edit?usp=sharing"",""สตูล!I472"")"),0)</f>
        <v>0</v>
      </c>
      <c r="J577" s="195">
        <f ca="1">IFERROR(__xludf.DUMMYFUNCTION("IMPORTRANGE(""https://docs.google.com/spreadsheets/d/1IYY_tgx_IHuhSq3AJ5eI5OnqOPBNLWSHKh2a30DoXe8/edit?usp=sharing"",""สตูล!J472"")"),229)</f>
        <v>229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IFERROR(__xludf.DUMMYFUNCTION("IMPORTRANGE(""https://docs.google.com/spreadsheets/d/1IYY_tgx_IHuhSq3AJ5eI5OnqOPBNLWSHKh2a30DoXe8/edit?usp=sharing"",""สตูล!I473"")"),0)</f>
        <v>0</v>
      </c>
      <c r="J578" s="204">
        <f ca="1">IFERROR(__xludf.DUMMYFUNCTION("IMPORTRANGE(""https://docs.google.com/spreadsheets/d/1IYY_tgx_IHuhSq3AJ5eI5OnqOPBNLWSHKh2a30DoXe8/edit?usp=sharing"",""สตูล!J473"")"),0)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IFERROR(__xludf.DUMMYFUNCTION("IMPORTRANGE(""https://docs.google.com/spreadsheets/d/1IYY_tgx_IHuhSq3AJ5eI5OnqOPBNLWSHKh2a30DoXe8/edit?usp=sharing"",""สตูล!I474"")"),0)</f>
        <v>0</v>
      </c>
      <c r="J579" s="204">
        <f ca="1">IFERROR(__xludf.DUMMYFUNCTION("IMPORTRANGE(""https://docs.google.com/spreadsheets/d/1IYY_tgx_IHuhSq3AJ5eI5OnqOPBNLWSHKh2a30DoXe8/edit?usp=sharing"",""สตูล!J474"")"),0)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IFERROR(__xludf.DUMMYFUNCTION("IMPORTRANGE(""https://docs.google.com/spreadsheets/d/1IYY_tgx_IHuhSq3AJ5eI5OnqOPBNLWSHKh2a30DoXe8/edit?usp=sharing"",""สตูล!L476"")"),0)</f>
        <v>0</v>
      </c>
      <c r="M581" s="168"/>
      <c r="N581" s="175">
        <f ca="1">IFERROR(__xludf.DUMMYFUNCTION("IMPORTRANGE(""https://docs.google.com/spreadsheets/d/1IYY_tgx_IHuhSq3AJ5eI5OnqOPBNLWSHKh2a30DoXe8/edit?usp=sharing"",""สตูล!M476"")"),0)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5">
        <f ca="1">IFERROR(__xludf.DUMMYFUNCTION("IMPORTRANGE(""https://docs.google.com/spreadsheets/d/1IYY_tgx_IHuhSq3AJ5eI5OnqOPBNLWSHKh2a30DoXe8/edit?usp=sharing"",""สตูล!M477"")"),0)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IFERROR(__xludf.DUMMYFUNCTION("IMPORTRANGE(""https://docs.google.com/spreadsheets/d/1IYY_tgx_IHuhSq3AJ5eI5OnqOPBNLWSHKh2a30DoXe8/edit?usp=sharing"",""สตูล!L478"")"),0)</f>
        <v>0</v>
      </c>
      <c r="M583" s="175"/>
      <c r="N583" s="175">
        <f ca="1">IFERROR(__xludf.DUMMYFUNCTION("IMPORTRANGE(""https://docs.google.com/spreadsheets/d/1IYY_tgx_IHuhSq3AJ5eI5OnqOPBNLWSHKh2a30DoXe8/edit?usp=sharing"",""สตูล!M478"")"),0)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IFERROR(__xludf.DUMMYFUNCTION("IMPORTRANGE(""https://docs.google.com/spreadsheets/d/1IYY_tgx_IHuhSq3AJ5eI5OnqOPBNLWSHKh2a30DoXe8/edit?usp=sharing"",""สตูล!L479"")"),0)</f>
        <v>0</v>
      </c>
      <c r="M584" s="175"/>
      <c r="N584" s="175">
        <f ca="1">IFERROR(__xludf.DUMMYFUNCTION("IMPORTRANGE(""https://docs.google.com/spreadsheets/d/1IYY_tgx_IHuhSq3AJ5eI5OnqOPBNLWSHKh2a30DoXe8/edit?usp=sharing"",""สตูล!M479"")"),0)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IFERROR(__xludf.DUMMYFUNCTION("IMPORTRANGE(""https://docs.google.com/spreadsheets/d/1IYY_tgx_IHuhSq3AJ5eI5OnqOPBNLWSHKh2a30DoXe8/edit?usp=sharing"",""สตูล!M480"")"),0)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IFERROR(__xludf.DUMMYFUNCTION("IMPORTRANGE(""https://docs.google.com/spreadsheets/d/1IYY_tgx_IHuhSq3AJ5eI5OnqOPBNLWSHKh2a30DoXe8/edit?usp=sharing"",""สตูล!M481"")"),0)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IFERROR(__xludf.DUMMYFUNCTION("IMPORTRANGE(""https://docs.google.com/spreadsheets/d/1IYY_tgx_IHuhSq3AJ5eI5OnqOPBNLWSHKh2a30DoXe8/edit?usp=sharing"",""สตูล!M482"")"),0)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IFERROR(__xludf.DUMMYFUNCTION("IMPORTRANGE(""https://docs.google.com/spreadsheets/d/1IYY_tgx_IHuhSq3AJ5eI5OnqOPBNLWSHKh2a30DoXe8/edit?usp=sharing"",""สตูล!M483"")"),0)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4">
        <f ca="1">IFERROR(__xludf.DUMMYFUNCTION("IMPORTRANGE(""https://docs.google.com/spreadsheets/d/1IYY_tgx_IHuhSq3AJ5eI5OnqOPBNLWSHKh2a30DoXe8/edit?usp=sharing"",""สตูล!J484"")"),0)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4">
        <f ca="1">IFERROR(__xludf.DUMMYFUNCTION("IMPORTRANGE(""https://docs.google.com/spreadsheets/d/1IYY_tgx_IHuhSq3AJ5eI5OnqOPBNLWSHKh2a30DoXe8/edit?usp=sharing"",""สตูล!J485"")"),0)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4">
        <f ca="1">IFERROR(__xludf.DUMMYFUNCTION("IMPORTRANGE(""https://docs.google.com/spreadsheets/d/1IYY_tgx_IHuhSq3AJ5eI5OnqOPBNLWSHKh2a30DoXe8/edit?usp=sharing"",""สตูล!J486"")"),0)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4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4">
        <f ca="1">IFERROR(__xludf.DUMMYFUNCTION("IMPORTRANGE(""https://docs.google.com/spreadsheets/d/1IYY_tgx_IHuhSq3AJ5eI5OnqOPBNLWSHKh2a30DoXe8/edit?usp=sharing"",""สตูล!J488"")"),0)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4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4">
        <f ca="1">IFERROR(__xludf.DUMMYFUNCTION("IMPORTRANGE(""https://docs.google.com/spreadsheets/d/1IYY_tgx_IHuhSq3AJ5eI5OnqOPBNLWSHKh2a30DoXe8/edit?usp=sharing"",""สตูล!J490"")"),0)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IFERROR(__xludf.DUMMYFUNCTION("IMPORTRANGE(""https://docs.google.com/spreadsheets/d/1IYY_tgx_IHuhSq3AJ5eI5OnqOPBNLWSHKh2a30DoXe8/edit?usp=sharing"",""สตูล!I491"")"),0)</f>
        <v>0</v>
      </c>
      <c r="J596" s="247">
        <f ca="1">IFERROR(__xludf.DUMMYFUNCTION("IMPORTRANGE(""https://docs.google.com/spreadsheets/d/1IYY_tgx_IHuhSq3AJ5eI5OnqOPBNLWSHKh2a30DoXe8/edit?usp=sharing"",""สตูล!J491"")"),0)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4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IFERROR(__xludf.DUMMYFUNCTION("IMPORTRANGE(""https://docs.google.com/spreadsheets/d/1IYY_tgx_IHuhSq3AJ5eI5OnqOPBNLWSHKh2a30DoXe8/edit?usp=sharing"",""สตูล!M492"")"),1140)</f>
        <v>1140</v>
      </c>
      <c r="O597" s="418">
        <f t="shared" ref="O597:O601" ca="1" si="126">+IF(L597&gt;0,N597*100/L597,0)</f>
        <v>14.074074074074074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IFERROR(__xludf.DUMMYFUNCTION("IMPORTRANGE(""https://docs.google.com/spreadsheets/d/1IYY_tgx_IHuhSq3AJ5eI5OnqOPBNLWSHKh2a30DoXe8/edit?usp=sharing"",""สตูล!L493"")"),0)</f>
        <v>0</v>
      </c>
      <c r="M598" s="168"/>
      <c r="N598" s="175">
        <f ca="1">IFERROR(__xludf.DUMMYFUNCTION("IMPORTRANGE(""https://docs.google.com/spreadsheets/d/1IYY_tgx_IHuhSq3AJ5eI5OnqOPBNLWSHKh2a30DoXe8/edit?usp=sharing"",""สตูล!M493"")"),0)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IFERROR(__xludf.DUMMYFUNCTION("IMPORTRANGE(""https://docs.google.com/spreadsheets/d/1IYY_tgx_IHuhSq3AJ5eI5OnqOPBNLWSHKh2a30DoXe8/edit?usp=sharing"",""สตูล!L494"")"),8100)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IFERROR(__xludf.DUMMYFUNCTION("IMPORTRANGE(""https://docs.google.com/spreadsheets/d/1IYY_tgx_IHuhSq3AJ5eI5OnqOPBNLWSHKh2a30DoXe8/edit?usp=sharing"",""สตูล!M494"")"),1140)</f>
        <v>1140</v>
      </c>
      <c r="O599" s="175">
        <f t="shared" ca="1" si="126"/>
        <v>14.074074074074074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IFERROR(__xludf.DUMMYFUNCTION("IMPORTRANGE(""https://docs.google.com/spreadsheets/d/1IYY_tgx_IHuhSq3AJ5eI5OnqOPBNLWSHKh2a30DoXe8/edit?usp=sharing"",""สตูล!L495"")"),0)</f>
        <v>0</v>
      </c>
      <c r="M600" s="175"/>
      <c r="N600" s="175">
        <f ca="1">IFERROR(__xludf.DUMMYFUNCTION("IMPORTRANGE(""https://docs.google.com/spreadsheets/d/1IYY_tgx_IHuhSq3AJ5eI5OnqOPBNLWSHKh2a30DoXe8/edit?usp=sharing"",""สตูล!M495"")"),0)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IFERROR(__xludf.DUMMYFUNCTION("IMPORTRANGE(""https://docs.google.com/spreadsheets/d/1IYY_tgx_IHuhSq3AJ5eI5OnqOPBNLWSHKh2a30DoXe8/edit?usp=sharing"",""สตูล!L496"")"),8100)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IFERROR(__xludf.DUMMYFUNCTION("IMPORTRANGE(""https://docs.google.com/spreadsheets/d/1IYY_tgx_IHuhSq3AJ5eI5OnqOPBNLWSHKh2a30DoXe8/edit?usp=sharing"",""สตูล!M496"")"),1140)</f>
        <v>1140</v>
      </c>
      <c r="O601" s="175">
        <f t="shared" ca="1" si="126"/>
        <v>14.074074074074074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IFERROR(__xludf.DUMMYFUNCTION("IMPORTRANGE(""https://docs.google.com/spreadsheets/d/1IYY_tgx_IHuhSq3AJ5eI5OnqOPBNLWSHKh2a30DoXe8/edit?usp=sharing"",""สตูล!M497"")"),0)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IFERROR(__xludf.DUMMYFUNCTION("IMPORTRANGE(""https://docs.google.com/spreadsheets/d/1IYY_tgx_IHuhSq3AJ5eI5OnqOPBNLWSHKh2a30DoXe8/edit?usp=sharing"",""สตูล!M498"")"),0)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IFERROR(__xludf.DUMMYFUNCTION("IMPORTRANGE(""https://docs.google.com/spreadsheets/d/1IYY_tgx_IHuhSq3AJ5eI5OnqOPBNLWSHKh2a30DoXe8/edit?usp=sharing"",""สตูล!M500"")"),1140)</f>
        <v>1140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IFERROR(__xludf.DUMMYFUNCTION("IMPORTRANGE(""https://docs.google.com/spreadsheets/d/1IYY_tgx_IHuhSq3AJ5eI5OnqOPBNLWSHKh2a30DoXe8/edit?usp=sharing"",""สตูล!J502"")"),0)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IFERROR(__xludf.DUMMYFUNCTION("IMPORTRANGE(""https://docs.google.com/spreadsheets/d/1IYY_tgx_IHuhSq3AJ5eI5OnqOPBNLWSHKh2a30DoXe8/edit?usp=sharing"",""สตูล!J503"")"),1)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IFERROR(__xludf.DUMMYFUNCTION("IMPORTRANGE(""https://docs.google.com/spreadsheets/d/1IYY_tgx_IHuhSq3AJ5eI5OnqOPBNLWSHKh2a30DoXe8/edit?usp=sharing"",""สตูล!J166"")"),0)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IFERROR(__xludf.DUMMYFUNCTION("IMPORTRANGE(""https://docs.google.com/spreadsheets/d/1IYY_tgx_IHuhSq3AJ5eI5OnqOPBNLWSHKh2a30DoXe8/edit?usp=sharing"",""สตูล!J166"")"),0)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IFERROR(__xludf.DUMMYFUNCTION("IMPORTRANGE(""https://docs.google.com/spreadsheets/d/1IYY_tgx_IHuhSq3AJ5eI5OnqOPBNLWSHKh2a30DoXe8/edit?usp=sharing"",""สตูล!I506"")"),100)</f>
        <v>100</v>
      </c>
      <c r="J611" s="166">
        <f ca="1">IFERROR(__xludf.DUMMYFUNCTION("IMPORTRANGE(""https://docs.google.com/spreadsheets/d/1IYY_tgx_IHuhSq3AJ5eI5OnqOPBNLWSHKh2a30DoXe8/edit?usp=sharing"",""สตูล!J506"")"),0)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IFERROR(__xludf.DUMMYFUNCTION("IMPORTRANGE(""https://docs.google.com/spreadsheets/d/1IYY_tgx_IHuhSq3AJ5eI5OnqOPBNLWSHKh2a30DoXe8/edit?usp=sharing"",""สตูล!I507"")"),0)</f>
        <v>0</v>
      </c>
      <c r="J612" s="204">
        <f ca="1">IFERROR(__xludf.DUMMYFUNCTION("IMPORTRANGE(""https://docs.google.com/spreadsheets/d/1IYY_tgx_IHuhSq3AJ5eI5OnqOPBNLWSHKh2a30DoXe8/edit?usp=sharing"",""สตูล!J507"")"),0)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IFERROR(__xludf.DUMMYFUNCTION("IMPORTRANGE(""https://docs.google.com/spreadsheets/d/1IYY_tgx_IHuhSq3AJ5eI5OnqOPBNLWSHKh2a30DoXe8/edit?usp=sharing"",""สตูล!I508"")"),0)</f>
        <v>0</v>
      </c>
      <c r="J613" s="204">
        <f ca="1">IFERROR(__xludf.DUMMYFUNCTION("IMPORTRANGE(""https://docs.google.com/spreadsheets/d/1IYY_tgx_IHuhSq3AJ5eI5OnqOPBNLWSHKh2a30DoXe8/edit?usp=sharing"",""สตูล!J508"")"),0)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IFERROR(__xludf.DUMMYFUNCTION("IMPORTRANGE(""https://docs.google.com/spreadsheets/d/1IYY_tgx_IHuhSq3AJ5eI5OnqOPBNLWSHKh2a30DoXe8/edit?usp=sharing"",""สตูล!I509"")"),0)</f>
        <v>0</v>
      </c>
      <c r="J614" s="204">
        <f ca="1">IFERROR(__xludf.DUMMYFUNCTION("IMPORTRANGE(""https://docs.google.com/spreadsheets/d/1IYY_tgx_IHuhSq3AJ5eI5OnqOPBNLWSHKh2a30DoXe8/edit?usp=sharing"",""สตูล!J509"")"),0)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IFERROR(__xludf.DUMMYFUNCTION("IMPORTRANGE(""https://docs.google.com/spreadsheets/d/1IYY_tgx_IHuhSq3AJ5eI5OnqOPBNLWSHKh2a30DoXe8/edit?usp=sharing"",""สตูล!I510"")"),0)</f>
        <v>0</v>
      </c>
      <c r="J615" s="204">
        <f ca="1">IFERROR(__xludf.DUMMYFUNCTION("IMPORTRANGE(""https://docs.google.com/spreadsheets/d/1IYY_tgx_IHuhSq3AJ5eI5OnqOPBNLWSHKh2a30DoXe8/edit?usp=sharing"",""สตูล!J510"")"),0)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IFERROR(__xludf.DUMMYFUNCTION("IMPORTRANGE(""https://docs.google.com/spreadsheets/d/1IYY_tgx_IHuhSq3AJ5eI5OnqOPBNLWSHKh2a30DoXe8/edit?usp=sharing"",""สตูล!I511"")"),0)</f>
        <v>0</v>
      </c>
      <c r="J616" s="204">
        <f ca="1">IFERROR(__xludf.DUMMYFUNCTION("IMPORTRANGE(""https://docs.google.com/spreadsheets/d/1IYY_tgx_IHuhSq3AJ5eI5OnqOPBNLWSHKh2a30DoXe8/edit?usp=sharing"",""สตูล!J511"")"),0)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IFERROR(__xludf.DUMMYFUNCTION("IMPORTRANGE(""https://docs.google.com/spreadsheets/d/1IYY_tgx_IHuhSq3AJ5eI5OnqOPBNLWSHKh2a30DoXe8/edit?usp=sharing"",""สตูล!I512"")"),0)</f>
        <v>0</v>
      </c>
      <c r="J617" s="194">
        <f ca="1">IFERROR(__xludf.DUMMYFUNCTION("IMPORTRANGE(""https://docs.google.com/spreadsheets/d/1IYY_tgx_IHuhSq3AJ5eI5OnqOPBNLWSHKh2a30DoXe8/edit?usp=sharing"",""สตูล!J512"")"),0)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IFERROR(__xludf.DUMMYFUNCTION("IMPORTRANGE(""https://docs.google.com/spreadsheets/d/1IYY_tgx_IHuhSq3AJ5eI5OnqOPBNLWSHKh2a30DoXe8/edit?usp=sharing"",""สตูล!I513"")"),0)</f>
        <v>0</v>
      </c>
      <c r="J618" s="195">
        <f ca="1">IFERROR(__xludf.DUMMYFUNCTION("IMPORTRANGE(""https://docs.google.com/spreadsheets/d/1IYY_tgx_IHuhSq3AJ5eI5OnqOPBNLWSHKh2a30DoXe8/edit?usp=sharing"",""สตูล!J513"")"),0)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IFERROR(__xludf.DUMMYFUNCTION("IMPORTRANGE(""https://docs.google.com/spreadsheets/d/1IYY_tgx_IHuhSq3AJ5eI5OnqOPBNLWSHKh2a30DoXe8/edit?usp=sharing"",""สตูล!I514"")"),0)</f>
        <v>0</v>
      </c>
      <c r="J619" s="195">
        <f ca="1">IFERROR(__xludf.DUMMYFUNCTION("IMPORTRANGE(""https://docs.google.com/spreadsheets/d/1IYY_tgx_IHuhSq3AJ5eI5OnqOPBNLWSHKh2a30DoXe8/edit?usp=sharing"",""สตูล!J514"")"),0)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IFERROR(__xludf.DUMMYFUNCTION("IMPORTRANGE(""https://docs.google.com/spreadsheets/d/1IYY_tgx_IHuhSq3AJ5eI5OnqOPBNLWSHKh2a30DoXe8/edit?usp=sharing"",""สตูล!I515"")"),0)</f>
        <v>0</v>
      </c>
      <c r="J620" s="209">
        <f ca="1">IFERROR(__xludf.DUMMYFUNCTION("IMPORTRANGE(""https://docs.google.com/spreadsheets/d/1IYY_tgx_IHuhSq3AJ5eI5OnqOPBNLWSHKh2a30DoXe8/edit?usp=sharing"",""สตูล!J515"")"),0)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IFERROR(__xludf.DUMMYFUNCTION("IMPORTRANGE(""https://docs.google.com/spreadsheets/d/1IYY_tgx_IHuhSq3AJ5eI5OnqOPBNLWSHKh2a30DoXe8/edit?usp=sharing"",""สตูล!I516"")"),0)</f>
        <v>0</v>
      </c>
      <c r="J621" s="209">
        <f ca="1">IFERROR(__xludf.DUMMYFUNCTION("IMPORTRANGE(""https://docs.google.com/spreadsheets/d/1IYY_tgx_IHuhSq3AJ5eI5OnqOPBNLWSHKh2a30DoXe8/edit?usp=sharing"",""สตูล!J516"")"),0)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IFERROR(__xludf.DUMMYFUNCTION("IMPORTRANGE(""https://docs.google.com/spreadsheets/d/1IYY_tgx_IHuhSq3AJ5eI5OnqOPBNLWSHKh2a30DoXe8/edit?usp=sharing"",""สตูล!I517"")"),0)</f>
        <v>0</v>
      </c>
      <c r="J622" s="195">
        <f ca="1">IFERROR(__xludf.DUMMYFUNCTION("IMPORTRANGE(""https://docs.google.com/spreadsheets/d/1IYY_tgx_IHuhSq3AJ5eI5OnqOPBNLWSHKh2a30DoXe8/edit?usp=sharing"",""สตูล!J517"")"),0)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IFERROR(__xludf.DUMMYFUNCTION("IMPORTRANGE(""https://docs.google.com/spreadsheets/d/1IYY_tgx_IHuhSq3AJ5eI5OnqOPBNLWSHKh2a30DoXe8/edit?usp=sharing"",""สตูล!I518"")"),0)</f>
        <v>0</v>
      </c>
      <c r="J623" s="195">
        <f ca="1">IFERROR(__xludf.DUMMYFUNCTION("IMPORTRANGE(""https://docs.google.com/spreadsheets/d/1IYY_tgx_IHuhSq3AJ5eI5OnqOPBNLWSHKh2a30DoXe8/edit?usp=sharing"",""สตูล!J518"")"),0)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IFERROR(__xludf.DUMMYFUNCTION("IMPORTRANGE(""https://docs.google.com/spreadsheets/d/1IYY_tgx_IHuhSq3AJ5eI5OnqOPBNLWSHKh2a30DoXe8/edit?usp=sharing"",""สตูล!I519"")"),0)</f>
        <v>0</v>
      </c>
      <c r="J624" s="194">
        <f ca="1">IFERROR(__xludf.DUMMYFUNCTION("IMPORTRANGE(""https://docs.google.com/spreadsheets/d/1IYY_tgx_IHuhSq3AJ5eI5OnqOPBNLWSHKh2a30DoXe8/edit?usp=sharing"",""สตูล!J519"")"),0)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IFERROR(__xludf.DUMMYFUNCTION("IMPORTRANGE(""https://docs.google.com/spreadsheets/d/1IYY_tgx_IHuhSq3AJ5eI5OnqOPBNLWSHKh2a30DoXe8/edit?usp=sharing"",""สตูล!I520"")"),0)</f>
        <v>0</v>
      </c>
      <c r="J625" s="195">
        <f ca="1">IFERROR(__xludf.DUMMYFUNCTION("IMPORTRANGE(""https://docs.google.com/spreadsheets/d/1IYY_tgx_IHuhSq3AJ5eI5OnqOPBNLWSHKh2a30DoXe8/edit?usp=sharing"",""สตูล!J520"")"),0)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IFERROR(__xludf.DUMMYFUNCTION("IMPORTRANGE(""https://docs.google.com/spreadsheets/d/1IYY_tgx_IHuhSq3AJ5eI5OnqOPBNLWSHKh2a30DoXe8/edit?usp=sharing"",""สตูล!I521"")"),0)</f>
        <v>0</v>
      </c>
      <c r="J626" s="195">
        <f ca="1">IFERROR(__xludf.DUMMYFUNCTION("IMPORTRANGE(""https://docs.google.com/spreadsheets/d/1IYY_tgx_IHuhSq3AJ5eI5OnqOPBNLWSHKh2a30DoXe8/edit?usp=sharing"",""สตูล!J521"")"),0)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IFERROR(__xludf.DUMMYFUNCTION("IMPORTRANGE(""https://docs.google.com/spreadsheets/d/1IYY_tgx_IHuhSq3AJ5eI5OnqOPBNLWSHKh2a30DoXe8/edit?usp=sharing"",""สตูล!J523"")"),299384.91)</f>
        <v>299384.90999999997</v>
      </c>
      <c r="K628" s="348">
        <f t="shared" ref="K628:K635" ca="1" si="129">IF(I628&gt;0,J628*100/I628,0)</f>
        <v>100.18741411984885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IFERROR(__xludf.DUMMYFUNCTION("IMPORTRANGE(""https://docs.google.com/spreadsheets/d/1IYY_tgx_IHuhSq3AJ5eI5OnqOPBNLWSHKh2a30DoXe8/edit?usp=sharing"",""สตูล!J524"")"),36)</f>
        <v>36</v>
      </c>
      <c r="K629" s="348">
        <f t="shared" ca="1" si="129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IFERROR(__xludf.DUMMYFUNCTION("IMPORTRANGE(""https://docs.google.com/spreadsheets/d/1IYY_tgx_IHuhSq3AJ5eI5OnqOPBNLWSHKh2a30DoXe8/edit?usp=sharing"",""สตูล!J525"")"),4873)</f>
        <v>4873</v>
      </c>
      <c r="K630" s="348">
        <f t="shared" ca="1" si="129"/>
        <v>39.288881722163993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IFERROR(__xludf.DUMMYFUNCTION("IMPORTRANGE(""https://docs.google.com/spreadsheets/d/1IYY_tgx_IHuhSq3AJ5eI5OnqOPBNLWSHKh2a30DoXe8/edit?usp=sharing"",""สตูล!I529"")"),510000)</f>
        <v>510000</v>
      </c>
      <c r="J634" s="347">
        <f ca="1">IFERROR(__xludf.DUMMYFUNCTION("IMPORTRANGE(""https://docs.google.com/spreadsheets/d/1IYY_tgx_IHuhSq3AJ5eI5OnqOPBNLWSHKh2a30DoXe8/edit?usp=sharing"",""สตูล!J529"")"),510000)</f>
        <v>510000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IFERROR(__xludf.DUMMYFUNCTION("IMPORTRANGE(""https://docs.google.com/spreadsheets/d/1IYY_tgx_IHuhSq3AJ5eI5OnqOPBNLWSHKh2a30DoXe8/edit?usp=sharing"",""สตูล!I530"")"),17)</f>
        <v>17</v>
      </c>
      <c r="J635" s="518">
        <f ca="1">IFERROR(__xludf.DUMMYFUNCTION("IMPORTRANGE(""https://docs.google.com/spreadsheets/d/1IYY_tgx_IHuhSq3AJ5eI5OnqOPBNLWSHKh2a30DoXe8/edit?usp=sharing"",""สตูล!J530"")"),15)</f>
        <v>15</v>
      </c>
      <c r="K635" s="493">
        <f t="shared" ca="1" si="129"/>
        <v>88.235294117647058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IFERROR(__xludf.DUMMYFUNCTION("IMPORTRANGE(""https://docs.google.com/spreadsheets/d/1IYY_tgx_IHuhSq3AJ5eI5OnqOPBNLWSHKh2a30DoXe8/edit?usp=sharing"",""สตูล!J541"")"),0)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IFERROR(__xludf.DUMMYFUNCTION("IMPORTRANGE(""https://docs.google.com/spreadsheets/d/1IYY_tgx_IHuhSq3AJ5eI5OnqOPBNLWSHKh2a30DoXe8/edit?usp=sharing"",""สตูล!J542"")"),0)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IFERROR(__xludf.DUMMYFUNCTION("IMPORTRANGE(""https://docs.google.com/spreadsheets/d/1IYY_tgx_IHuhSq3AJ5eI5OnqOPBNLWSHKh2a30DoXe8/edit?usp=sharing"",""สตูล!I543"")"),0)</f>
        <v>0</v>
      </c>
      <c r="J648" s="547">
        <f ca="1">IFERROR(__xludf.DUMMYFUNCTION("IMPORTRANGE(""https://docs.google.com/spreadsheets/d/1IYY_tgx_IHuhSq3AJ5eI5OnqOPBNLWSHKh2a30DoXe8/edit?usp=sharing"",""สตูล!J543"")"),0)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IFERROR(__xludf.DUMMYFUNCTION("IMPORTRANGE(""https://docs.google.com/spreadsheets/d/1IYY_tgx_IHuhSq3AJ5eI5OnqOPBNLWSHKh2a30DoXe8/edit?usp=sharing"",""สตูล!L543"")"),0)</f>
        <v>0</v>
      </c>
      <c r="M648" s="534"/>
      <c r="N648" s="549">
        <f ca="1">IFERROR(__xludf.DUMMYFUNCTION("IMPORTRANGE(""https://docs.google.com/spreadsheets/d/1IYY_tgx_IHuhSq3AJ5eI5OnqOPBNLWSHKh2a30DoXe8/edit?usp=sharing"",""สตูล!M543"")"),0)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IFERROR(__xludf.DUMMYFUNCTION("IMPORTRANGE(""https://docs.google.com/spreadsheets/d/1IYY_tgx_IHuhSq3AJ5eI5OnqOPBNLWSHKh2a30DoXe8/edit?usp=sharing"",""สตูล!I544"")"),0)</f>
        <v>0</v>
      </c>
      <c r="J649" s="547">
        <f ca="1">IFERROR(__xludf.DUMMYFUNCTION("IMPORTRANGE(""https://docs.google.com/spreadsheets/d/1IYY_tgx_IHuhSq3AJ5eI5OnqOPBNLWSHKh2a30DoXe8/edit?usp=sharing"",""สตูล!J544"")"),0)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IFERROR(__xludf.DUMMYFUNCTION("IMPORTRANGE(""https://docs.google.com/spreadsheets/d/1IYY_tgx_IHuhSq3AJ5eI5OnqOPBNLWSHKh2a30DoXe8/edit?usp=sharing"",""สตูล!L544"")"),0)</f>
        <v>0</v>
      </c>
      <c r="M649" s="534"/>
      <c r="N649" s="549">
        <f ca="1">IFERROR(__xludf.DUMMYFUNCTION("IMPORTRANGE(""https://docs.google.com/spreadsheets/d/1IYY_tgx_IHuhSq3AJ5eI5OnqOPBNLWSHKh2a30DoXe8/edit?usp=sharing"",""สตูล!M544"")"),0)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IFERROR(__xludf.DUMMYFUNCTION("IMPORTRANGE(""https://docs.google.com/spreadsheets/d/1IYY_tgx_IHuhSq3AJ5eI5OnqOPBNLWSHKh2a30DoXe8/edit?usp=sharing"",""สตูล!I545"")"),0)</f>
        <v>0</v>
      </c>
      <c r="J650" s="547">
        <f ca="1">IFERROR(__xludf.DUMMYFUNCTION("IMPORTRANGE(""https://docs.google.com/spreadsheets/d/1IYY_tgx_IHuhSq3AJ5eI5OnqOPBNLWSHKh2a30DoXe8/edit?usp=sharing"",""สตูล!J545"")"),0)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IFERROR(__xludf.DUMMYFUNCTION("IMPORTRANGE(""https://docs.google.com/spreadsheets/d/1IYY_tgx_IHuhSq3AJ5eI5OnqOPBNLWSHKh2a30DoXe8/edit?usp=sharing"",""สตูล!L545"")"),0)</f>
        <v>0</v>
      </c>
      <c r="M650" s="534"/>
      <c r="N650" s="549">
        <f ca="1">IFERROR(__xludf.DUMMYFUNCTION("IMPORTRANGE(""https://docs.google.com/spreadsheets/d/1IYY_tgx_IHuhSq3AJ5eI5OnqOPBNLWSHKh2a30DoXe8/edit?usp=sharing"",""สตูล!M545"")"),0)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IFERROR(__xludf.DUMMYFUNCTION("IMPORTRANGE(""https://docs.google.com/spreadsheets/d/1IYY_tgx_IHuhSq3AJ5eI5OnqOPBNLWSHKh2a30DoXe8/edit?usp=sharing"",""สตูล!I546"")"),0)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IFERROR(__xludf.DUMMYFUNCTION("IMPORTRANGE(""https://docs.google.com/spreadsheets/d/1IYY_tgx_IHuhSq3AJ5eI5OnqOPBNLWSHKh2a30DoXe8/edit?usp=sharing"",""สตูล!L546"")"),0)</f>
        <v>0</v>
      </c>
      <c r="M651" s="534"/>
      <c r="N651" s="549">
        <f ca="1">IFERROR(__xludf.DUMMYFUNCTION("IMPORTRANGE(""https://docs.google.com/spreadsheets/d/1IYY_tgx_IHuhSq3AJ5eI5OnqOPBNLWSHKh2a30DoXe8/edit?usp=sharing"",""สตูล!M546"")"),0)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IFERROR(__xludf.DUMMYFUNCTION("IMPORTRANGE(""https://docs.google.com/spreadsheets/d/1IYY_tgx_IHuhSq3AJ5eI5OnqOPBNLWSHKh2a30DoXe8/edit?usp=sharing"",""สตูล!J547"")"),0)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IFERROR(__xludf.DUMMYFUNCTION("IMPORTRANGE(""https://docs.google.com/spreadsheets/d/1IYY_tgx_IHuhSq3AJ5eI5OnqOPBNLWSHKh2a30DoXe8/edit?usp=sharing"",""สตูล!J548"")"),0)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IFERROR(__xludf.DUMMYFUNCTION("IMPORTRANGE(""https://docs.google.com/spreadsheets/d/1IYY_tgx_IHuhSq3AJ5eI5OnqOPBNLWSHKh2a30DoXe8/edit?usp=sharing"",""สตูล!J550"")"),0)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IFERROR(__xludf.DUMMYFUNCTION("IMPORTRANGE(""https://docs.google.com/spreadsheets/d/1IYY_tgx_IHuhSq3AJ5eI5OnqOPBNLWSHKh2a30DoXe8/edit?usp=sharing"",""สตูล!J551"")"),0)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IFERROR(__xludf.DUMMYFUNCTION("IMPORTRANGE(""https://docs.google.com/spreadsheets/d/1IYY_tgx_IHuhSq3AJ5eI5OnqOPBNLWSHKh2a30DoXe8/edit?usp=sharing"",""สตูล!J552"")"),0)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IFERROR(__xludf.DUMMYFUNCTION("IMPORTRANGE(""https://docs.google.com/spreadsheets/d/1IYY_tgx_IHuhSq3AJ5eI5OnqOPBNLWSHKh2a30DoXe8/edit?usp=sharing"",""สตูล!J553"")"),0)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IFERROR(__xludf.DUMMYFUNCTION("IMPORTRANGE(""https://docs.google.com/spreadsheets/d/1IYY_tgx_IHuhSq3AJ5eI5OnqOPBNLWSHKh2a30DoXe8/edit?usp=sharing"",""สตูล!J554"")"),0)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IFERROR(__xludf.DUMMYFUNCTION("IMPORTRANGE(""https://docs.google.com/spreadsheets/d/1IYY_tgx_IHuhSq3AJ5eI5OnqOPBNLWSHKh2a30DoXe8/edit?usp=sharing"",""สตูล!J555"")"),0)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IFERROR(__xludf.DUMMYFUNCTION("IMPORTRANGE(""https://docs.google.com/spreadsheets/d/1IYY_tgx_IHuhSq3AJ5eI5OnqOPBNLWSHKh2a30DoXe8/edit?usp=sharing"",""สตูล!J556"")"),0)</f>
        <v>0</v>
      </c>
      <c r="K661" s="548"/>
      <c r="L661" s="535">
        <f ca="1">IFERROR(__xludf.DUMMYFUNCTION("IMPORTRANGE(""https://docs.google.com/spreadsheets/d/1IYY_tgx_IHuhSq3AJ5eI5OnqOPBNLWSHKh2a30DoXe8/edit?usp=sharing"",""สตูล!L556"")"),0)</f>
        <v>0</v>
      </c>
      <c r="M661" s="534"/>
      <c r="N661" s="549">
        <f ca="1">IFERROR(__xludf.DUMMYFUNCTION("IMPORTRANGE(""https://docs.google.com/spreadsheets/d/1IYY_tgx_IHuhSq3AJ5eI5OnqOPBNLWSHKh2a30DoXe8/edit?usp=sharing"",""สตูล!M556"")"),0)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IFERROR(__xludf.DUMMYFUNCTION("IMPORTRANGE(""https://docs.google.com/spreadsheets/d/1IYY_tgx_IHuhSq3AJ5eI5OnqOPBNLWSHKh2a30DoXe8/edit?usp=sharing"",""สตูล!J557"")"),0)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IFERROR(__xludf.DUMMYFUNCTION("IMPORTRANGE(""https://docs.google.com/spreadsheets/d/1IYY_tgx_IHuhSq3AJ5eI5OnqOPBNLWSHKh2a30DoXe8/edit?usp=sharing"",""สตูล!I558"")"),0)</f>
        <v>0</v>
      </c>
      <c r="J663" s="547">
        <f ca="1">IFERROR(__xludf.DUMMYFUNCTION("IMPORTRANGE(""https://docs.google.com/spreadsheets/d/1IYY_tgx_IHuhSq3AJ5eI5OnqOPBNLWSHKh2a30DoXe8/edit?usp=sharing"",""สตูล!J558"")"),0)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IFERROR(__xludf.DUMMYFUNCTION("IMPORTRANGE(""https://docs.google.com/spreadsheets/d/1IYY_tgx_IHuhSq3AJ5eI5OnqOPBNLWSHKh2a30DoXe8/edit?usp=sharing"",""สตูล!I560"")"),0)</f>
        <v>0</v>
      </c>
      <c r="J665" s="547">
        <f ca="1">IFERROR(__xludf.DUMMYFUNCTION("IMPORTRANGE(""https://docs.google.com/spreadsheets/d/1IYY_tgx_IHuhSq3AJ5eI5OnqOPBNLWSHKh2a30DoXe8/edit?usp=sharing"",""สตูล!J560"")"),0)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IFERROR(__xludf.DUMMYFUNCTION("IMPORTRANGE(""https://docs.google.com/spreadsheets/d/1IYY_tgx_IHuhSq3AJ5eI5OnqOPBNLWSHKh2a30DoXe8/edit?usp=sharing"",""สตูล!L560"")"),0)</f>
        <v>0</v>
      </c>
      <c r="M665" s="534"/>
      <c r="N665" s="549">
        <f ca="1">IFERROR(__xludf.DUMMYFUNCTION("IMPORTRANGE(""https://docs.google.com/spreadsheets/d/1IYY_tgx_IHuhSq3AJ5eI5OnqOPBNLWSHKh2a30DoXe8/edit?usp=sharing"",""สตูล!M560"")"),0)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IFERROR(__xludf.DUMMYFUNCTION("IMPORTRANGE(""https://docs.google.com/spreadsheets/d/1IYY_tgx_IHuhSq3AJ5eI5OnqOPBNLWSHKh2a30DoXe8/edit?usp=sharing"",""สตูล!J561"")"),0)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IFERROR(__xludf.DUMMYFUNCTION("IMPORTRANGE(""https://docs.google.com/spreadsheets/d/1IYY_tgx_IHuhSq3AJ5eI5OnqOPBNLWSHKh2a30DoXe8/edit?usp=sharing"",""สตูล!J562"")"),0)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IFERROR(__xludf.DUMMYFUNCTION("IMPORTRANGE(""https://docs.google.com/spreadsheets/d/1IYY_tgx_IHuhSq3AJ5eI5OnqOPBNLWSHKh2a30DoXe8/edit?usp=sharing"",""สตูล!I563"")"),0)</f>
        <v>0</v>
      </c>
      <c r="J668" s="547">
        <f ca="1">IFERROR(__xludf.DUMMYFUNCTION("IMPORTRANGE(""https://docs.google.com/spreadsheets/d/1IYY_tgx_IHuhSq3AJ5eI5OnqOPBNLWSHKh2a30DoXe8/edit?usp=sharing"",""สตูล!J563"")"),0)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IFERROR(__xludf.DUMMYFUNCTION("IMPORTRANGE(""https://docs.google.com/spreadsheets/d/1IYY_tgx_IHuhSq3AJ5eI5OnqOPBNLWSHKh2a30DoXe8/edit?usp=sharing"",""สตูล!L563"")"),0)</f>
        <v>0</v>
      </c>
      <c r="M668" s="534"/>
      <c r="N668" s="549">
        <f ca="1">IFERROR(__xludf.DUMMYFUNCTION("IMPORTRANGE(""https://docs.google.com/spreadsheets/d/1IYY_tgx_IHuhSq3AJ5eI5OnqOPBNLWSHKh2a30DoXe8/edit?usp=sharing"",""สตูล!M563"")"),0)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IFERROR(__xludf.DUMMYFUNCTION("IMPORTRANGE(""https://docs.google.com/spreadsheets/d/1IYY_tgx_IHuhSq3AJ5eI5OnqOPBNLWSHKh2a30DoXe8/edit?usp=sharing"",""สตูล!J564"")"),0)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IFERROR(__xludf.DUMMYFUNCTION("IMPORTRANGE(""https://docs.google.com/spreadsheets/d/1IYY_tgx_IHuhSq3AJ5eI5OnqOPBNLWSHKh2a30DoXe8/edit?usp=sharing"",""สตูล!J565"")"),0)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IFERROR(__xludf.DUMMYFUNCTION("IMPORTRANGE(""https://docs.google.com/spreadsheets/d/1IYY_tgx_IHuhSq3AJ5eI5OnqOPBNLWSHKh2a30DoXe8/edit?usp=sharing"",""สตูล!I566"")"),0)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IFERROR(__xludf.DUMMYFUNCTION("IMPORTRANGE(""https://docs.google.com/spreadsheets/d/1IYY_tgx_IHuhSq3AJ5eI5OnqOPBNLWSHKh2a30DoXe8/edit?usp=sharing"",""สตูล!L566"")"),0)</f>
        <v>0</v>
      </c>
      <c r="M671" s="534"/>
      <c r="N671" s="549">
        <f ca="1">IFERROR(__xludf.DUMMYFUNCTION("IMPORTRANGE(""https://docs.google.com/spreadsheets/d/1IYY_tgx_IHuhSq3AJ5eI5OnqOPBNLWSHKh2a30DoXe8/edit?usp=sharing"",""สตูล!M566"")"),0)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IFERROR(__xludf.DUMMYFUNCTION("IMPORTRANGE(""https://docs.google.com/spreadsheets/d/1IYY_tgx_IHuhSq3AJ5eI5OnqOPBNLWSHKh2a30DoXe8/edit?usp=sharing"",""สตูล!J567"")"),0)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IFERROR(__xludf.DUMMYFUNCTION("IMPORTRANGE(""https://docs.google.com/spreadsheets/d/1IYY_tgx_IHuhSq3AJ5eI5OnqOPBNLWSHKh2a30DoXe8/edit?usp=sharing"",""สตูล!J568"")"),0)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IFERROR(__xludf.DUMMYFUNCTION("IMPORTRANGE(""https://docs.google.com/spreadsheets/d/1IYY_tgx_IHuhSq3AJ5eI5OnqOPBNLWSHKh2a30DoXe8/edit?usp=sharing"",""สตูล!J569"")"),0)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IFERROR(__xludf.DUMMYFUNCTION("IMPORTRANGE(""https://docs.google.com/spreadsheets/d/1IYY_tgx_IHuhSq3AJ5eI5OnqOPBNLWSHKh2a30DoXe8/edit?usp=sharing"",""สตูล!J570"")"),0)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IFERROR(__xludf.DUMMYFUNCTION("IMPORTRANGE(""https://docs.google.com/spreadsheets/d/1IYY_tgx_IHuhSq3AJ5eI5OnqOPBNLWSHKh2a30DoXe8/edit?usp=sharing"",""สตูล!J571"")"),0)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IFERROR(__xludf.DUMMYFUNCTION("IMPORTRANGE(""https://docs.google.com/spreadsheets/d/1IYY_tgx_IHuhSq3AJ5eI5OnqOPBNLWSHKh2a30DoXe8/edit?usp=sharing"",""สตูล!J572"")"),0)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7002508</v>
      </c>
      <c r="M8" s="23">
        <f t="shared" ca="1" si="0"/>
        <v>4334386</v>
      </c>
      <c r="N8" s="23">
        <f t="shared" ca="1" si="0"/>
        <v>4808877.58</v>
      </c>
      <c r="O8" s="22">
        <f t="shared" ref="O8:O16" ca="1" si="1">IF(L8&gt;0,N8*100/L8,0)</f>
        <v>68.673646356419724</v>
      </c>
      <c r="P8" s="22">
        <f t="shared" ref="P8:P16" ca="1" si="2">IF(M8&gt;0,N8*100/M8,0)</f>
        <v>110.94714637782606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7002508</v>
      </c>
      <c r="M10" s="30">
        <f t="shared" ca="1" si="4"/>
        <v>4334386</v>
      </c>
      <c r="N10" s="30">
        <f t="shared" ca="1" si="4"/>
        <v>4808877.58</v>
      </c>
      <c r="O10" s="29">
        <f t="shared" ca="1" si="1"/>
        <v>68.673646356419724</v>
      </c>
      <c r="P10" s="29">
        <f t="shared" ca="1" si="2"/>
        <v>110.94714637782606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6853708</v>
      </c>
      <c r="M12" s="38">
        <f t="shared" ca="1" si="6"/>
        <v>4185586</v>
      </c>
      <c r="N12" s="38">
        <f t="shared" ca="1" si="6"/>
        <v>4660077.58</v>
      </c>
      <c r="O12" s="38">
        <f t="shared" ca="1" si="1"/>
        <v>67.993523797628967</v>
      </c>
      <c r="P12" s="38">
        <f t="shared" ca="1" si="2"/>
        <v>111.33632375490552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2388200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4465508</v>
      </c>
      <c r="M14" s="38">
        <f t="shared" si="8"/>
        <v>0</v>
      </c>
      <c r="N14" s="38">
        <f t="shared" ca="1" si="8"/>
        <v>1491248.21</v>
      </c>
      <c r="O14" s="41">
        <f t="shared" ca="1" si="1"/>
        <v>33.394816670354189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148800</v>
      </c>
      <c r="M16" s="38">
        <f t="shared" ca="1" si="10"/>
        <v>148800</v>
      </c>
      <c r="N16" s="38">
        <f t="shared" ca="1" si="10"/>
        <v>148800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4243170</v>
      </c>
      <c r="M18" s="23">
        <f t="shared" ca="1" si="11"/>
        <v>4334386</v>
      </c>
      <c r="N18" s="23">
        <f t="shared" ca="1" si="11"/>
        <v>3317629.37</v>
      </c>
      <c r="O18" s="22">
        <f t="shared" ref="O18:O20" ca="1" si="12">IF(L18&gt;0,N18*100/L18,0)</f>
        <v>78.187519472469873</v>
      </c>
      <c r="P18" s="22">
        <f t="shared" ref="P18:P26" ca="1" si="13">IF(M18&gt;0,N18*100/M18,0)</f>
        <v>76.542083930688221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4243170</v>
      </c>
      <c r="M20" s="30">
        <f t="shared" ca="1" si="15"/>
        <v>4334386</v>
      </c>
      <c r="N20" s="30">
        <f t="shared" ca="1" si="15"/>
        <v>3317629.37</v>
      </c>
      <c r="O20" s="29">
        <f t="shared" ca="1" si="12"/>
        <v>78.187519472469873</v>
      </c>
      <c r="P20" s="29">
        <f t="shared" ca="1" si="13"/>
        <v>76.542083930688221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4094370</v>
      </c>
      <c r="M22" s="42">
        <f t="shared" ca="1" si="18"/>
        <v>4185586</v>
      </c>
      <c r="N22" s="41">
        <f t="shared" ca="1" si="18"/>
        <v>3168829.37</v>
      </c>
      <c r="O22" s="41">
        <f t="shared" ca="1" si="17"/>
        <v>77.39479749021217</v>
      </c>
      <c r="P22" s="41">
        <f t="shared" ca="1" si="13"/>
        <v>75.708141464540446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2388200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1706170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148800</v>
      </c>
      <c r="M26" s="50">
        <f t="shared" ca="1" si="22"/>
        <v>148800</v>
      </c>
      <c r="N26" s="50">
        <f t="shared" ca="1" si="22"/>
        <v>148800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2759338</v>
      </c>
      <c r="M28" s="23">
        <f t="shared" si="23"/>
        <v>0</v>
      </c>
      <c r="N28" s="23">
        <f t="shared" ca="1" si="23"/>
        <v>1491248.21</v>
      </c>
      <c r="O28" s="22">
        <f t="shared" ref="O28:O30" ca="1" si="24">IF(L28&gt;0,N28*100/L28,0)</f>
        <v>54.043694900733435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2759338</v>
      </c>
      <c r="M30" s="30">
        <f t="shared" si="27"/>
        <v>0</v>
      </c>
      <c r="N30" s="30">
        <f t="shared" ca="1" si="27"/>
        <v>1491248.21</v>
      </c>
      <c r="O30" s="29">
        <f t="shared" ca="1" si="24"/>
        <v>54.043694900733435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2759338</v>
      </c>
      <c r="M32" s="41">
        <f t="shared" si="30"/>
        <v>0</v>
      </c>
      <c r="N32" s="41">
        <f t="shared" ca="1" si="30"/>
        <v>1491248.21</v>
      </c>
      <c r="O32" s="41">
        <f t="shared" ca="1" si="29"/>
        <v>54.043694900733435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2759338</v>
      </c>
      <c r="M34" s="41">
        <f t="shared" si="32"/>
        <v>0</v>
      </c>
      <c r="N34" s="41">
        <f t="shared" ca="1" si="32"/>
        <v>1491248.21</v>
      </c>
      <c r="O34" s="41">
        <f t="shared" ca="1" si="29"/>
        <v>54.043694900733435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4243170</v>
      </c>
      <c r="M37" s="55">
        <f t="shared" ca="1" si="33"/>
        <v>4334386</v>
      </c>
      <c r="N37" s="55">
        <f t="shared" ca="1" si="33"/>
        <v>3317629.37</v>
      </c>
      <c r="O37" s="56">
        <f t="shared" ca="1" si="29"/>
        <v>78.187519472469873</v>
      </c>
      <c r="P37" s="56">
        <f t="shared" ca="1" si="25"/>
        <v>76.542083930688221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530800</v>
      </c>
      <c r="N41" s="79">
        <f t="shared" ca="1" si="34"/>
        <v>443495.4</v>
      </c>
      <c r="O41" s="78">
        <f t="shared" ref="O41:O43" ca="1" si="35">IF(L41&gt;0,N41*100/L41,0)</f>
        <v>83.552260738507911</v>
      </c>
      <c r="P41" s="78">
        <f t="shared" ref="P41:P43" ca="1" si="36">IF(M41&gt;0,N41*100/M41,0)</f>
        <v>83.552260738507911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530800</v>
      </c>
      <c r="N43" s="79">
        <f t="shared" ca="1" si="38"/>
        <v>443495.4</v>
      </c>
      <c r="O43" s="78">
        <f t="shared" ca="1" si="35"/>
        <v>83.552260738507911</v>
      </c>
      <c r="P43" s="78">
        <f t="shared" ca="1" si="36"/>
        <v>83.552260738507911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IFERROR(__xludf.DUMMYFUNCTION("IMPORTRANGE(""https://docs.google.com/spreadsheets/d/1Yj_ptqi66GCucihVvJfMjLAmec39IyEx_6qawtMGysU/edit?usp=sharing"",""สบก!Q94"")"),530800)</f>
        <v>530800</v>
      </c>
      <c r="N45" s="91">
        <f ca="1">IFERROR(__xludf.DUMMYFUNCTION("IMPORTRANGE(""https://docs.google.com/spreadsheets/d/1Yj_ptqi66GCucihVvJfMjLAmec39IyEx_6qawtMGysU/edit?usp=sharing"",""สบก!R94"")"),443495.4)</f>
        <v>443495.4</v>
      </c>
      <c r="O45" s="92">
        <f ca="1">IF(L45&gt;0,N45*100/L45,0)</f>
        <v>83.552260738507911</v>
      </c>
      <c r="P45" s="92">
        <f ca="1">IF(M45&gt;0,N45*100/M45,0)</f>
        <v>83.552260738507911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670000</v>
      </c>
      <c r="M53" s="125">
        <f t="shared" ca="1" si="39"/>
        <v>696616</v>
      </c>
      <c r="N53" s="125">
        <f t="shared" ca="1" si="39"/>
        <v>606678</v>
      </c>
      <c r="O53" s="124">
        <f t="shared" ref="O53:O55" ca="1" si="40">IF(L53&gt;0,N53*100/L53,0)</f>
        <v>90.548955223880597</v>
      </c>
      <c r="P53" s="124">
        <f t="shared" ref="P53:P55" ca="1" si="41">IF(M53&gt;0,N53*100/M53,0)</f>
        <v>87.089300274469721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670000</v>
      </c>
      <c r="M55" s="125">
        <f t="shared" ca="1" si="43"/>
        <v>696616</v>
      </c>
      <c r="N55" s="125">
        <f t="shared" ca="1" si="43"/>
        <v>606678</v>
      </c>
      <c r="O55" s="124">
        <f t="shared" ca="1" si="40"/>
        <v>90.548955223880597</v>
      </c>
      <c r="P55" s="124">
        <f t="shared" ca="1" si="41"/>
        <v>87.089300274469721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670000</v>
      </c>
      <c r="M57" s="91">
        <f ca="1">IFERROR(__xludf.DUMMYFUNCTION("IMPORTRANGE(""https://docs.google.com/spreadsheets/d/1Yj_ptqi66GCucihVvJfMjLAmec39IyEx_6qawtMGysU/edit?usp=sharing"",""สบก!Z94"")"),696616)</f>
        <v>696616</v>
      </c>
      <c r="N57" s="91">
        <f ca="1">IFERROR(__xludf.DUMMYFUNCTION("IMPORTRANGE(""https://docs.google.com/spreadsheets/d/1Yj_ptqi66GCucihVvJfMjLAmec39IyEx_6qawtMGysU/edit?usp=sharing"",""สบก!AA94"")"),606678)</f>
        <v>606678</v>
      </c>
      <c r="O57" s="92">
        <f ca="1">IF(L57&gt;0,N57*100/L57,0)</f>
        <v>90.548955223880597</v>
      </c>
      <c r="P57" s="92">
        <f ca="1">IF(M57&gt;0,N57*100/M57,0)</f>
        <v>87.089300274469721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IFERROR(__xludf.DUMMYFUNCTION("IMPORTRANGE(""https://docs.google.com/spreadsheets/d/1Yj_ptqi66GCucihVvJfMjLAmec39IyEx_6qawtMGysU/edit?usp=sharing"",""สบก!V94"")"),670000)</f>
        <v>670000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IFERROR(__xludf.DUMMYFUNCTION("IMPORTRANGE(""https://docs.google.com/spreadsheets/d/1Yj_ptqi66GCucihVvJfMjLAmec39IyEx_6qawtMGysU/edit?usp=sharing"",""สบก!AI94"")"),0)</f>
        <v>0</v>
      </c>
      <c r="N70" s="174">
        <f ca="1">IFERROR(__xludf.DUMMYFUNCTION("IMPORTRANGE(""https://docs.google.com/spreadsheets/d/1Yj_ptqi66GCucihVvJfMjLAmec39IyEx_6qawtMGysU/edit?usp=sharing"",""สบก!AJ94"")"),0)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IFERROR(__xludf.DUMMYFUNCTION("IMPORTRANGE(""https://docs.google.com/spreadsheets/d/1IYY_tgx_IHuhSq3AJ5eI5OnqOPBNLWSHKh2a30DoXe8/edit?usp=sharing"",""สุราษฎร์ธานี!J16"")"),0)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IFERROR(__xludf.DUMMYFUNCTION("IMPORTRANGE(""https://docs.google.com/spreadsheets/d/1IYY_tgx_IHuhSq3AJ5eI5OnqOPBNLWSHKh2a30DoXe8/edit?usp=sharing"",""สุราษฎร์ธานี!J17"")"),0)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IFERROR(__xludf.DUMMYFUNCTION("IMPORTRANGE(""https://docs.google.com/spreadsheets/d/1IYY_tgx_IHuhSq3AJ5eI5OnqOPBNLWSHKh2a30DoXe8/edit?usp=sharing"",""สุราษฎร์ธานี!J18"")"),0)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IFERROR(__xludf.DUMMYFUNCTION("IMPORTRANGE(""https://docs.google.com/spreadsheets/d/1IYY_tgx_IHuhSq3AJ5eI5OnqOPBNLWSHKh2a30DoXe8/edit?usp=sharing"",""สุราษฎร์ธานี!J19"")"),0)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IFERROR(__xludf.DUMMYFUNCTION("IMPORTRANGE(""https://docs.google.com/spreadsheets/d/1IYY_tgx_IHuhSq3AJ5eI5OnqOPBNLWSHKh2a30DoXe8/edit?usp=sharing"",""สุราษฎร์ธานี!I20"")"),0)</f>
        <v>0</v>
      </c>
      <c r="J80" s="207">
        <f ca="1">IFERROR(__xludf.DUMMYFUNCTION("IMPORTRANGE(""https://docs.google.com/spreadsheets/d/1IYY_tgx_IHuhSq3AJ5eI5OnqOPBNLWSHKh2a30DoXe8/edit?usp=sharing"",""สุราษฎร์ธานี!J20"")"),0)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IFERROR(__xludf.DUMMYFUNCTION("IMPORTRANGE(""https://docs.google.com/spreadsheets/d/1IYY_tgx_IHuhSq3AJ5eI5OnqOPBNLWSHKh2a30DoXe8/edit?usp=sharing"",""สุราษฎร์ธานี!I21"")"),0)</f>
        <v>0</v>
      </c>
      <c r="J81" s="207">
        <f ca="1">IFERROR(__xludf.DUMMYFUNCTION("IMPORTRANGE(""https://docs.google.com/spreadsheets/d/1IYY_tgx_IHuhSq3AJ5eI5OnqOPBNLWSHKh2a30DoXe8/edit?usp=sharing"",""สุราษฎร์ธานี!J21"")"),0)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IFERROR(__xludf.DUMMYFUNCTION("IMPORTRANGE(""https://docs.google.com/spreadsheets/d/1IYY_tgx_IHuhSq3AJ5eI5OnqOPBNLWSHKh2a30DoXe8/edit?usp=sharing"",""สุราษฎร์ธานี!I22"")"),0)</f>
        <v>0</v>
      </c>
      <c r="J82" s="210">
        <f ca="1">IFERROR(__xludf.DUMMYFUNCTION("IMPORTRANGE(""https://docs.google.com/spreadsheets/d/1IYY_tgx_IHuhSq3AJ5eI5OnqOPBNLWSHKh2a30DoXe8/edit?usp=sharing"",""สุราษฎร์ธานี!J22"")"),0)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IFERROR(__xludf.DUMMYFUNCTION("IMPORTRANGE(""https://docs.google.com/spreadsheets/d/1IYY_tgx_IHuhSq3AJ5eI5OnqOPBNLWSHKh2a30DoXe8/edit?usp=sharing"",""สุราษฎร์ธานี!I23"")"),0)</f>
        <v>0</v>
      </c>
      <c r="J83" s="210">
        <f ca="1">IFERROR(__xludf.DUMMYFUNCTION("IMPORTRANGE(""https://docs.google.com/spreadsheets/d/1IYY_tgx_IHuhSq3AJ5eI5OnqOPBNLWSHKh2a30DoXe8/edit?usp=sharing"",""สุราษฎร์ธานี!J23"")"),0)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IFERROR(__xludf.DUMMYFUNCTION("IMPORTRANGE(""https://docs.google.com/spreadsheets/d/1IYY_tgx_IHuhSq3AJ5eI5OnqOPBNLWSHKh2a30DoXe8/edit?usp=sharing"",""สุราษฎร์ธานี!I24"")"),0)</f>
        <v>0</v>
      </c>
      <c r="J84" s="195">
        <f ca="1">IFERROR(__xludf.DUMMYFUNCTION("IMPORTRANGE(""https://docs.google.com/spreadsheets/d/1IYY_tgx_IHuhSq3AJ5eI5OnqOPBNLWSHKh2a30DoXe8/edit?usp=sharing"",""สุราษฎร์ธานี!J24"")"),0)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IFERROR(__xludf.DUMMYFUNCTION("IMPORTRANGE(""https://docs.google.com/spreadsheets/d/1IYY_tgx_IHuhSq3AJ5eI5OnqOPBNLWSHKh2a30DoXe8/edit?usp=sharing"",""สุราษฎร์ธานี!I25"")"),0)</f>
        <v>0</v>
      </c>
      <c r="J85" s="195">
        <f ca="1">IFERROR(__xludf.DUMMYFUNCTION("IMPORTRANGE(""https://docs.google.com/spreadsheets/d/1IYY_tgx_IHuhSq3AJ5eI5OnqOPBNLWSHKh2a30DoXe8/edit?usp=sharing"",""สุราษฎร์ธานี!J25"")"),0)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IFERROR(__xludf.DUMMYFUNCTION("IMPORTRANGE(""https://docs.google.com/spreadsheets/d/1IYY_tgx_IHuhSq3AJ5eI5OnqOPBNLWSHKh2a30DoXe8/edit?usp=sharing"",""สุราษฎร์ธานี!I26"")"),0)</f>
        <v>0</v>
      </c>
      <c r="J86" s="210">
        <f ca="1">IFERROR(__xludf.DUMMYFUNCTION("IMPORTRANGE(""https://docs.google.com/spreadsheets/d/1IYY_tgx_IHuhSq3AJ5eI5OnqOPBNLWSHKh2a30DoXe8/edit?usp=sharing"",""สุราษฎร์ธานี!J26"")"),0)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IFERROR(__xludf.DUMMYFUNCTION("IMPORTRANGE(""https://docs.google.com/spreadsheets/d/1IYY_tgx_IHuhSq3AJ5eI5OnqOPBNLWSHKh2a30DoXe8/edit?usp=sharing"",""สุราษฎร์ธานี!I27"")"),0)</f>
        <v>0</v>
      </c>
      <c r="J87" s="210">
        <f ca="1">IFERROR(__xludf.DUMMYFUNCTION("IMPORTRANGE(""https://docs.google.com/spreadsheets/d/1IYY_tgx_IHuhSq3AJ5eI5OnqOPBNLWSHKh2a30DoXe8/edit?usp=sharing"",""สุราษฎร์ธานี!J27"")"),0)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IFERROR(__xludf.DUMMYFUNCTION("IMPORTRANGE(""https://docs.google.com/spreadsheets/d/1IYY_tgx_IHuhSq3AJ5eI5OnqOPBNLWSHKh2a30DoXe8/edit?usp=sharing"",""สุราษฎร์ธานี!I28"")"),0)</f>
        <v>0</v>
      </c>
      <c r="J88" s="210">
        <f ca="1">IFERROR(__xludf.DUMMYFUNCTION("IMPORTRANGE(""https://docs.google.com/spreadsheets/d/1IYY_tgx_IHuhSq3AJ5eI5OnqOPBNLWSHKh2a30DoXe8/edit?usp=sharing"",""สุราษฎร์ธานี!J28"")"),0)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IFERROR(__xludf.DUMMYFUNCTION("IMPORTRANGE(""https://docs.google.com/spreadsheets/d/1IYY_tgx_IHuhSq3AJ5eI5OnqOPBNLWSHKh2a30DoXe8/edit?usp=sharing"",""สุราษฎร์ธานี!J29"")"),0)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IFERROR(__xludf.DUMMYFUNCTION("IMPORTRANGE(""https://docs.google.com/spreadsheets/d/1IYY_tgx_IHuhSq3AJ5eI5OnqOPBNLWSHKh2a30DoXe8/edit?usp=sharing"",""สุราษฎร์ธานี!J30"")"),0)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IFERROR(__xludf.DUMMYFUNCTION("IMPORTRANGE(""https://docs.google.com/spreadsheets/d/1Yj_ptqi66GCucihVvJfMjLAmec39IyEx_6qawtMGysU/edit?usp=sharing"",""สบก!AR94"")"),0)</f>
        <v>0</v>
      </c>
      <c r="N98" s="174">
        <f ca="1">IFERROR(__xludf.DUMMYFUNCTION("IMPORTRANGE(""https://docs.google.com/spreadsheets/d/1Yj_ptqi66GCucihVvJfMjLAmec39IyEx_6qawtMGysU/edit?usp=sharing"",""สบก!AS94"")"),0)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IFERROR(__xludf.DUMMYFUNCTION("IMPORTRANGE(""https://docs.google.com/spreadsheets/d/1Yj_ptqi66GCucihVvJfMjLAmec39IyEx_6qawtMGysU/edit?usp=sharing"",""สบก!AO94"")"),0)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IFERROR(__xludf.DUMMYFUNCTION("IMPORTRANGE(""https://docs.google.com/spreadsheets/d/1IYY_tgx_IHuhSq3AJ5eI5OnqOPBNLWSHKh2a30DoXe8/edit?usp=sharing"",""สุราษฎร์ธานี!J39"")"),0)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IFERROR(__xludf.DUMMYFUNCTION("IMPORTRANGE(""https://docs.google.com/spreadsheets/d/1IYY_tgx_IHuhSq3AJ5eI5OnqOPBNLWSHKh2a30DoXe8/edit?usp=sharing"",""สุราษฎร์ธานี!J40"")"),0)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IFERROR(__xludf.DUMMYFUNCTION("IMPORTRANGE(""https://docs.google.com/spreadsheets/d/1IYY_tgx_IHuhSq3AJ5eI5OnqOPBNLWSHKh2a30DoXe8/edit?usp=sharing"",""สุราษฎร์ธานี!J41"")"),0)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IFERROR(__xludf.DUMMYFUNCTION("IMPORTRANGE(""https://docs.google.com/spreadsheets/d/1IYY_tgx_IHuhSq3AJ5eI5OnqOPBNLWSHKh2a30DoXe8/edit?usp=sharing"",""สุราษฎร์ธานี!J42"")"),0)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IFERROR(__xludf.DUMMYFUNCTION("IMPORTRANGE(""https://docs.google.com/spreadsheets/d/1IYY_tgx_IHuhSq3AJ5eI5OnqOPBNLWSHKh2a30DoXe8/edit?usp=sharing"",""สุราษฎร์ธานี!I43"")"),0)</f>
        <v>0</v>
      </c>
      <c r="J108" s="210">
        <f ca="1">IFERROR(__xludf.DUMMYFUNCTION("IMPORTRANGE(""https://docs.google.com/spreadsheets/d/1IYY_tgx_IHuhSq3AJ5eI5OnqOPBNLWSHKh2a30DoXe8/edit?usp=sharing"",""สุราษฎร์ธานี!J43"")"),0)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IFERROR(__xludf.DUMMYFUNCTION("IMPORTRANGE(""https://docs.google.com/spreadsheets/d/1IYY_tgx_IHuhSq3AJ5eI5OnqOPBNLWSHKh2a30DoXe8/edit?usp=sharing"",""สุราษฎร์ธานี!I44"")"),0)</f>
        <v>0</v>
      </c>
      <c r="J109" s="210">
        <f ca="1">IFERROR(__xludf.DUMMYFUNCTION("IMPORTRANGE(""https://docs.google.com/spreadsheets/d/1IYY_tgx_IHuhSq3AJ5eI5OnqOPBNLWSHKh2a30DoXe8/edit?usp=sharing"",""สุราษฎร์ธานี!J44"")"),0)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IFERROR(__xludf.DUMMYFUNCTION("IMPORTRANGE(""https://docs.google.com/spreadsheets/d/1IYY_tgx_IHuhSq3AJ5eI5OnqOPBNLWSHKh2a30DoXe8/edit?usp=sharing"",""สุราษฎร์ธานี!I45"")"),0)</f>
        <v>0</v>
      </c>
      <c r="J110" s="210">
        <f ca="1">IFERROR(__xludf.DUMMYFUNCTION("IMPORTRANGE(""https://docs.google.com/spreadsheets/d/1IYY_tgx_IHuhSq3AJ5eI5OnqOPBNLWSHKh2a30DoXe8/edit?usp=sharing"",""สุราษฎร์ธานี!J45"")"),0)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IFERROR(__xludf.DUMMYFUNCTION("IMPORTRANGE(""https://docs.google.com/spreadsheets/d/1IYY_tgx_IHuhSq3AJ5eI5OnqOPBNLWSHKh2a30DoXe8/edit?usp=sharing"",""สุราษฎร์ธานี!I46"")"),0)</f>
        <v>0</v>
      </c>
      <c r="J111" s="210">
        <f ca="1">IFERROR(__xludf.DUMMYFUNCTION("IMPORTRANGE(""https://docs.google.com/spreadsheets/d/1IYY_tgx_IHuhSq3AJ5eI5OnqOPBNLWSHKh2a30DoXe8/edit?usp=sharing"",""สุราษฎร์ธานี!J46"")"),0)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IFERROR(__xludf.DUMMYFUNCTION("IMPORTRANGE(""https://docs.google.com/spreadsheets/d/1IYY_tgx_IHuhSq3AJ5eI5OnqOPBNLWSHKh2a30DoXe8/edit?usp=sharing"",""สุราษฎร์ธานี!I47"")"),0)</f>
        <v>0</v>
      </c>
      <c r="J112" s="210">
        <f ca="1">IFERROR(__xludf.DUMMYFUNCTION("IMPORTRANGE(""https://docs.google.com/spreadsheets/d/1IYY_tgx_IHuhSq3AJ5eI5OnqOPBNLWSHKh2a30DoXe8/edit?usp=sharing"",""สุราษฎร์ธานี!J47"")"),0)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IFERROR(__xludf.DUMMYFUNCTION("IMPORTRANGE(""https://docs.google.com/spreadsheets/d/1IYY_tgx_IHuhSq3AJ5eI5OnqOPBNLWSHKh2a30DoXe8/edit?usp=sharing"",""สุราษฎร์ธานี!I48"")"),0)</f>
        <v>0</v>
      </c>
      <c r="J113" s="210">
        <f ca="1">IFERROR(__xludf.DUMMYFUNCTION("IMPORTRANGE(""https://docs.google.com/spreadsheets/d/1IYY_tgx_IHuhSq3AJ5eI5OnqOPBNLWSHKh2a30DoXe8/edit?usp=sharing"",""สุราษฎร์ธานี!J48"")"),0)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IFERROR(__xludf.DUMMYFUNCTION("IMPORTRANGE(""https://docs.google.com/spreadsheets/d/1IYY_tgx_IHuhSq3AJ5eI5OnqOPBNLWSHKh2a30DoXe8/edit?usp=sharing"",""สุราษฎร์ธานี!J49"")"),0)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IFERROR(__xludf.DUMMYFUNCTION("IMPORTRANGE(""https://docs.google.com/spreadsheets/d/1IYY_tgx_IHuhSq3AJ5eI5OnqOPBNLWSHKh2a30DoXe8/edit?usp=sharing"",""สุราษฎร์ธานี!J50"")"),0)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70490</v>
      </c>
      <c r="N118" s="156">
        <f t="shared" ca="1" si="58"/>
        <v>70040</v>
      </c>
      <c r="O118" s="155">
        <f t="shared" ref="O118:O120" ca="1" si="59">IF(L118&gt;0,N118*100/L118,0)</f>
        <v>107.93650793650794</v>
      </c>
      <c r="P118" s="155">
        <f t="shared" ref="P118:P120" ca="1" si="60">IF(M118&gt;0,N118*100/M118,0)</f>
        <v>99.361611576110093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70490</v>
      </c>
      <c r="N120" s="161">
        <f t="shared" ca="1" si="62"/>
        <v>70040</v>
      </c>
      <c r="O120" s="160">
        <f t="shared" ca="1" si="59"/>
        <v>107.93650793650794</v>
      </c>
      <c r="P120" s="160">
        <f t="shared" ca="1" si="60"/>
        <v>99.361611576110093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IFERROR(__xludf.DUMMYFUNCTION("IMPORTRANGE(""https://docs.google.com/spreadsheets/d/1Yj_ptqi66GCucihVvJfMjLAmec39IyEx_6qawtMGysU/edit?usp=sharing"",""สบก!BA94"")"),70490)</f>
        <v>70490</v>
      </c>
      <c r="N122" s="174">
        <f ca="1">IFERROR(__xludf.DUMMYFUNCTION("IMPORTRANGE(""https://docs.google.com/spreadsheets/d/1Yj_ptqi66GCucihVvJfMjLAmec39IyEx_6qawtMGysU/edit?usp=sharing"",""สบก!BB94"")"),70040)</f>
        <v>70040</v>
      </c>
      <c r="O122" s="175">
        <f ca="1">IF(L122&gt;0,N122*100/L122,0)</f>
        <v>107.93650793650794</v>
      </c>
      <c r="P122" s="175">
        <f ca="1">IF(M122&gt;0,N122*100/M122,0)</f>
        <v>99.361611576110093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IFERROR(__xludf.DUMMYFUNCTION("IMPORTRANGE(""https://docs.google.com/spreadsheets/d/1Yj_ptqi66GCucihVvJfMjLAmec39IyEx_6qawtMGysU/edit?usp=sharing"",""สบก!AX94"")"),64890)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IFERROR(__xludf.DUMMYFUNCTION("IMPORTRANGE(""https://docs.google.com/spreadsheets/d/1IYY_tgx_IHuhSq3AJ5eI5OnqOPBNLWSHKh2a30DoXe8/edit?usp=sharing"",""สุราษฎร์ธานี!J58"")"),0)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IFERROR(__xludf.DUMMYFUNCTION("IMPORTRANGE(""https://docs.google.com/spreadsheets/d/1IYY_tgx_IHuhSq3AJ5eI5OnqOPBNLWSHKh2a30DoXe8/edit?usp=sharing"",""สุราษฎร์ธานี!J59"")"),1)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IFERROR(__xludf.DUMMYFUNCTION("IMPORTRANGE(""https://docs.google.com/spreadsheets/d/1IYY_tgx_IHuhSq3AJ5eI5OnqOPBNLWSHKh2a30DoXe8/edit?usp=sharing"",""สุราษฎร์ธานี!J60"")"),1)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IFERROR(__xludf.DUMMYFUNCTION("IMPORTRANGE(""https://docs.google.com/spreadsheets/d/1IYY_tgx_IHuhSq3AJ5eI5OnqOPBNLWSHKh2a30DoXe8/edit?usp=sharing"",""สุราษฎร์ธานี!J61"")"),1)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IFERROR(__xludf.DUMMYFUNCTION("IMPORTRANGE(""https://docs.google.com/spreadsheets/d/1IYY_tgx_IHuhSq3AJ5eI5OnqOPBNLWSHKh2a30DoXe8/edit?usp=sharing"",""สุราษฎร์ธานี!I62"")"),15)</f>
        <v>15</v>
      </c>
      <c r="J132" s="210">
        <f ca="1">IFERROR(__xludf.DUMMYFUNCTION("IMPORTRANGE(""https://docs.google.com/spreadsheets/d/1IYY_tgx_IHuhSq3AJ5eI5OnqOPBNLWSHKh2a30DoXe8/edit?usp=sharing"",""สุราษฎร์ธานี!J62"")"),15)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IFERROR(__xludf.DUMMYFUNCTION("IMPORTRANGE(""https://docs.google.com/spreadsheets/d/1IYY_tgx_IHuhSq3AJ5eI5OnqOPBNLWSHKh2a30DoXe8/edit?usp=sharing"",""สุราษฎร์ธานี!I63"")"),15)</f>
        <v>15</v>
      </c>
      <c r="J133" s="210">
        <f ca="1">IFERROR(__xludf.DUMMYFUNCTION("IMPORTRANGE(""https://docs.google.com/spreadsheets/d/1IYY_tgx_IHuhSq3AJ5eI5OnqOPBNLWSHKh2a30DoXe8/edit?usp=sharing"",""สุราษฎร์ธานี!J63"")"),15)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IFERROR(__xludf.DUMMYFUNCTION("IMPORTRANGE(""https://docs.google.com/spreadsheets/d/1IYY_tgx_IHuhSq3AJ5eI5OnqOPBNLWSHKh2a30DoXe8/edit?usp=sharing"",""สุราษฎร์ธานี!J64"")"),0)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IFERROR(__xludf.DUMMYFUNCTION("IMPORTRANGE(""https://docs.google.com/spreadsheets/d/1IYY_tgx_IHuhSq3AJ5eI5OnqOPBNLWSHKh2a30DoXe8/edit?usp=sharing"",""สุราษฎร์ธานี!J65"")"),0)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IFERROR(__xludf.DUMMYFUNCTION("IMPORTRANGE(""https://docs.google.com/spreadsheets/d/1IYY_tgx_IHuhSq3AJ5eI5OnqOPBNLWSHKh2a30DoXe8/edit?usp=sharing"",""สุราษฎร์ธานี!I68"")"),0)</f>
        <v>0</v>
      </c>
      <c r="J138" s="273">
        <f ca="1">IFERROR(__xludf.DUMMYFUNCTION("IMPORTRANGE(""https://docs.google.com/spreadsheets/d/1IYY_tgx_IHuhSq3AJ5eI5OnqOPBNLWSHKh2a30DoXe8/edit?usp=sharing"",""สุราษฎร์ธานี!J68"")"),0)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57000</v>
      </c>
      <c r="M140" s="156">
        <f t="shared" ca="1" si="64"/>
        <v>57000</v>
      </c>
      <c r="N140" s="156">
        <f t="shared" ca="1" si="64"/>
        <v>51060</v>
      </c>
      <c r="O140" s="155">
        <f t="shared" ref="O140:O142" ca="1" si="65">IF(L140&gt;0,N140*100/L140,0)</f>
        <v>89.578947368421055</v>
      </c>
      <c r="P140" s="155">
        <f t="shared" ref="P140:P142" ca="1" si="66">IF(M140&gt;0,N140*100/M140,0)</f>
        <v>89.578947368421055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57000</v>
      </c>
      <c r="M142" s="161">
        <f t="shared" ca="1" si="68"/>
        <v>57000</v>
      </c>
      <c r="N142" s="161">
        <f t="shared" ca="1" si="68"/>
        <v>51060</v>
      </c>
      <c r="O142" s="160">
        <f t="shared" ca="1" si="65"/>
        <v>89.578947368421055</v>
      </c>
      <c r="P142" s="160">
        <f t="shared" ca="1" si="66"/>
        <v>89.578947368421055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57000</v>
      </c>
      <c r="M144" s="173">
        <f ca="1">IFERROR(__xludf.DUMMYFUNCTION("IMPORTRANGE(""https://docs.google.com/spreadsheets/d/1Yj_ptqi66GCucihVvJfMjLAmec39IyEx_6qawtMGysU/edit?usp=sharing"",""สบก!BJ94"")"),57000)</f>
        <v>57000</v>
      </c>
      <c r="N144" s="174">
        <f ca="1">IFERROR(__xludf.DUMMYFUNCTION("IMPORTRANGE(""https://docs.google.com/spreadsheets/d/1Yj_ptqi66GCucihVvJfMjLAmec39IyEx_6qawtMGysU/edit?usp=sharing"",""สบก!BK94"")"),51060)</f>
        <v>51060</v>
      </c>
      <c r="O144" s="175">
        <f ca="1">IF(L144&gt;0,N144*100/L144,0)</f>
        <v>89.578947368421055</v>
      </c>
      <c r="P144" s="175">
        <f ca="1">IF(M144&gt;0,N144*100/M144,0)</f>
        <v>89.578947368421055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IFERROR(__xludf.DUMMYFUNCTION("IMPORTRANGE(""https://docs.google.com/spreadsheets/d/1Yj_ptqi66GCucihVvJfMjLAmec39IyEx_6qawtMGysU/edit?usp=sharing"",""สบก!BF94"")"),0)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IFERROR(__xludf.DUMMYFUNCTION("IMPORTRANGE(""https://docs.google.com/spreadsheets/d/1Yj_ptqi66GCucihVvJfMjLAmec39IyEx_6qawtMGysU/edit?usp=sharing"",""สบก!BG94"")"),57000)</f>
        <v>57000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IFERROR(__xludf.DUMMYFUNCTION("IMPORTRANGE(""https://docs.google.com/spreadsheets/d/1IYY_tgx_IHuhSq3AJ5eI5OnqOPBNLWSHKh2a30DoXe8/edit?usp=sharing"",""สุราษฎร์ธานี!I74"")"),4)</f>
        <v>4</v>
      </c>
      <c r="J149" s="281">
        <f ca="1">IFERROR(__xludf.DUMMYFUNCTION("IMPORTRANGE(""https://docs.google.com/spreadsheets/d/1IYY_tgx_IHuhSq3AJ5eI5OnqOPBNLWSHKh2a30DoXe8/edit?usp=sharing"",""สุราษฎร์ธานี!J74"")"),4)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IFERROR(__xludf.DUMMYFUNCTION("IMPORTRANGE(""https://docs.google.com/spreadsheets/d/1IYY_tgx_IHuhSq3AJ5eI5OnqOPBNLWSHKh2a30DoXe8/edit?usp=sharing"",""สุราษฎร์ธานี!J79"")"),0)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IFERROR(__xludf.DUMMYFUNCTION("IMPORTRANGE(""https://docs.google.com/spreadsheets/d/1IYY_tgx_IHuhSq3AJ5eI5OnqOPBNLWSHKh2a30DoXe8/edit?usp=sharing"",""สุราษฎร์ธานี!J80"")"),1)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IFERROR(__xludf.DUMMYFUNCTION("IMPORTRANGE(""https://docs.google.com/spreadsheets/d/1IYY_tgx_IHuhSq3AJ5eI5OnqOPBNLWSHKh2a30DoXe8/edit?usp=sharing"",""สุราษฎร์ธานี!J81"")"),1)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IFERROR(__xludf.DUMMYFUNCTION("IMPORTRANGE(""https://docs.google.com/spreadsheets/d/1IYY_tgx_IHuhSq3AJ5eI5OnqOPBNLWSHKh2a30DoXe8/edit?usp=sharing"",""สุราษฎร์ธานี!J82"")"),1)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IFERROR(__xludf.DUMMYFUNCTION("IMPORTRANGE(""https://docs.google.com/spreadsheets/d/1IYY_tgx_IHuhSq3AJ5eI5OnqOPBNLWSHKh2a30DoXe8/edit?usp=sharing"",""สุราษฎร์ธานี!I83"")"),4)</f>
        <v>4</v>
      </c>
      <c r="J158" s="195">
        <f ca="1">IFERROR(__xludf.DUMMYFUNCTION("IMPORTRANGE(""https://docs.google.com/spreadsheets/d/1IYY_tgx_IHuhSq3AJ5eI5OnqOPBNLWSHKh2a30DoXe8/edit?usp=sharing"",""สุราษฎร์ธานี!J83"")"),4)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IFERROR(__xludf.DUMMYFUNCTION("IMPORTRANGE(""https://docs.google.com/spreadsheets/d/1IYY_tgx_IHuhSq3AJ5eI5OnqOPBNLWSHKh2a30DoXe8/edit?usp=sharing"",""สุราษฎร์ธานี!J84"")"),90)</f>
        <v>90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IFERROR(__xludf.DUMMYFUNCTION("IMPORTRANGE(""https://docs.google.com/spreadsheets/d/1IYY_tgx_IHuhSq3AJ5eI5OnqOPBNLWSHKh2a30DoXe8/edit?usp=sharing"",""สุราษฎร์ธานี!J85"")"),90)</f>
        <v>90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IFERROR(__xludf.DUMMYFUNCTION("IMPORTRANGE(""https://docs.google.com/spreadsheets/d/1IYY_tgx_IHuhSq3AJ5eI5OnqOPBNLWSHKh2a30DoXe8/edit?usp=sharing"",""สุราษฎร์ธานี!J86"")"),0)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IFERROR(__xludf.DUMMYFUNCTION("IMPORTRANGE(""https://docs.google.com/spreadsheets/d/1IYY_tgx_IHuhSq3AJ5eI5OnqOPBNLWSHKh2a30DoXe8/edit?usp=sharing"",""สุราษฎร์ธานี!J87"")"),0)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IFERROR(__xludf.DUMMYFUNCTION("IMPORTRANGE(""https://docs.google.com/spreadsheets/d/1IYY_tgx_IHuhSq3AJ5eI5OnqOPBNLWSHKh2a30DoXe8/edit?usp=sharing"",""สุราษฎร์ธานี!J88"")"),0)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IFERROR(__xludf.DUMMYFUNCTION("IMPORTRANGE(""https://docs.google.com/spreadsheets/d/1IYY_tgx_IHuhSq3AJ5eI5OnqOPBNLWSHKh2a30DoXe8/edit?usp=sharing"",""สุราษฎร์ธานี!J94"")"),0)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IFERROR(__xludf.DUMMYFUNCTION("IMPORTRANGE(""https://docs.google.com/spreadsheets/d/1IYY_tgx_IHuhSq3AJ5eI5OnqOPBNLWSHKh2a30DoXe8/edit?usp=sharing"",""สุราษฎร์ธานี!J95"")"),1)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IFERROR(__xludf.DUMMYFUNCTION("IMPORTRANGE(""https://docs.google.com/spreadsheets/d/1IYY_tgx_IHuhSq3AJ5eI5OnqOPBNLWSHKh2a30DoXe8/edit?usp=sharing"",""สุราษฎร์ธานี!J96"")"),1)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IFERROR(__xludf.DUMMYFUNCTION("IMPORTRANGE(""https://docs.google.com/spreadsheets/d/1IYY_tgx_IHuhSq3AJ5eI5OnqOPBNLWSHKh2a30DoXe8/edit?usp=sharing"",""สุราษฎร์ธานี!J97"")"),1)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IFERROR(__xludf.DUMMYFUNCTION("IMPORTRANGE(""https://docs.google.com/spreadsheets/d/1IYY_tgx_IHuhSq3AJ5eI5OnqOPBNLWSHKh2a30DoXe8/edit?usp=sharing"",""สุราษฎร์ธานี!I98"")"),3)</f>
        <v>3</v>
      </c>
      <c r="J173" s="195">
        <f ca="1">IFERROR(__xludf.DUMMYFUNCTION("IMPORTRANGE(""https://docs.google.com/spreadsheets/d/1IYY_tgx_IHuhSq3AJ5eI5OnqOPBNLWSHKh2a30DoXe8/edit?usp=sharing"",""สุราษฎร์ธานี!J98"")"),3)</f>
        <v>3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IFERROR(__xludf.DUMMYFUNCTION("IMPORTRANGE(""https://docs.google.com/spreadsheets/d/1IYY_tgx_IHuhSq3AJ5eI5OnqOPBNLWSHKh2a30DoXe8/edit?usp=sharing"",""สุราษฎร์ธานี!J99"")"),0)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IFERROR(__xludf.DUMMYFUNCTION("IMPORTRANGE(""https://docs.google.com/spreadsheets/d/1IYY_tgx_IHuhSq3AJ5eI5OnqOPBNLWSHKh2a30DoXe8/edit?usp=sharing"",""สุราษฎร์ธานี!J100"")"),0)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IFERROR(__xludf.DUMMYFUNCTION("IMPORTRANGE(""https://docs.google.com/spreadsheets/d/1IYY_tgx_IHuhSq3AJ5eI5OnqOPBNLWSHKh2a30DoXe8/edit?usp=sharing"",""สุราษฎร์ธานี!J106"")"),0)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IFERROR(__xludf.DUMMYFUNCTION("IMPORTRANGE(""https://docs.google.com/spreadsheets/d/1IYY_tgx_IHuhSq3AJ5eI5OnqOPBNLWSHKh2a30DoXe8/edit?usp=sharing"",""สุราษฎร์ธานี!J107"")"),0)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IFERROR(__xludf.DUMMYFUNCTION("IMPORTRANGE(""https://docs.google.com/spreadsheets/d/1IYY_tgx_IHuhSq3AJ5eI5OnqOPBNLWSHKh2a30DoXe8/edit?usp=sharing"",""สุราษฎร์ธานี!J108"")"),0)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IFERROR(__xludf.DUMMYFUNCTION("IMPORTRANGE(""https://docs.google.com/spreadsheets/d/1IYY_tgx_IHuhSq3AJ5eI5OnqOPBNLWSHKh2a30DoXe8/edit?usp=sharing"",""สุราษฎร์ธานี!J109"")"),0)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IFERROR(__xludf.DUMMYFUNCTION("IMPORTRANGE(""https://docs.google.com/spreadsheets/d/1IYY_tgx_IHuhSq3AJ5eI5OnqOPBNLWSHKh2a30DoXe8/edit?usp=sharing"",""สุราษฎร์ธานี!I110"")"),0)</f>
        <v>0</v>
      </c>
      <c r="J185" s="210">
        <f ca="1">IFERROR(__xludf.DUMMYFUNCTION("IMPORTRANGE(""https://docs.google.com/spreadsheets/d/1IYY_tgx_IHuhSq3AJ5eI5OnqOPBNLWSHKh2a30DoXe8/edit?usp=sharing"",""สุราษฎร์ธานี!J110"")"),0)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IFERROR(__xludf.DUMMYFUNCTION("IMPORTRANGE(""https://docs.google.com/spreadsheets/d/1IYY_tgx_IHuhSq3AJ5eI5OnqOPBNLWSHKh2a30DoXe8/edit?usp=sharing"",""สุราษฎร์ธานี!I111"")"),0)</f>
        <v>0</v>
      </c>
      <c r="J186" s="210">
        <f ca="1">IFERROR(__xludf.DUMMYFUNCTION("IMPORTRANGE(""https://docs.google.com/spreadsheets/d/1IYY_tgx_IHuhSq3AJ5eI5OnqOPBNLWSHKh2a30DoXe8/edit?usp=sharing"",""สุราษฎร์ธานี!J111"")"),0)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IFERROR(__xludf.DUMMYFUNCTION("IMPORTRANGE(""https://docs.google.com/spreadsheets/d/1IYY_tgx_IHuhSq3AJ5eI5OnqOPBNLWSHKh2a30DoXe8/edit?usp=sharing"",""สุราษฎร์ธานี!J112"")"),0)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IFERROR(__xludf.DUMMYFUNCTION("IMPORTRANGE(""https://docs.google.com/spreadsheets/d/1IYY_tgx_IHuhSq3AJ5eI5OnqOPBNLWSHKh2a30DoXe8/edit?usp=sharing"",""สุราษฎร์ธานี!J113"")"),0)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IFERROR(__xludf.DUMMYFUNCTION("IMPORTRANGE(""https://docs.google.com/spreadsheets/d/1IYY_tgx_IHuhSq3AJ5eI5OnqOPBNLWSHKh2a30DoXe8/edit?usp=sharing"",""สุราษฎร์ธานี!J119"")"),0)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IFERROR(__xludf.DUMMYFUNCTION("IMPORTRANGE(""https://docs.google.com/spreadsheets/d/1IYY_tgx_IHuhSq3AJ5eI5OnqOPBNLWSHKh2a30DoXe8/edit?usp=sharing"",""สุราษฎร์ธานี!J120"")"),1)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IFERROR(__xludf.DUMMYFUNCTION("IMPORTRANGE(""https://docs.google.com/spreadsheets/d/1IYY_tgx_IHuhSq3AJ5eI5OnqOPBNLWSHKh2a30DoXe8/edit?usp=sharing"",""สุราษฎร์ธานี!J121"")"),1)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IFERROR(__xludf.DUMMYFUNCTION("IMPORTRANGE(""https://docs.google.com/spreadsheets/d/1IYY_tgx_IHuhSq3AJ5eI5OnqOPBNLWSHKh2a30DoXe8/edit?usp=sharing"",""สุราษฎร์ธานี!J122"")"),1)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5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5">
        <f ca="1">IFERROR(__xludf.DUMMYFUNCTION("IMPORTRANGE(""https://docs.google.com/spreadsheets/d/1IYY_tgx_IHuhSq3AJ5eI5OnqOPBNLWSHKh2a30DoXe8/edit?usp=sharing"",""สุราษฎร์ธานี!J125"")"),10000)</f>
        <v>10000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IFERROR(__xludf.DUMMYFUNCTION("IMPORTRANGE(""https://docs.google.com/spreadsheets/d/1IYY_tgx_IHuhSq3AJ5eI5OnqOPBNLWSHKh2a30DoXe8/edit?usp=sharing"",""สุราษฎร์ธานี!I126"")"),0)</f>
        <v>0</v>
      </c>
      <c r="J201" s="195">
        <f ca="1">IFERROR(__xludf.DUMMYFUNCTION("IMPORTRANGE(""https://docs.google.com/spreadsheets/d/1IYY_tgx_IHuhSq3AJ5eI5OnqOPBNLWSHKh2a30DoXe8/edit?usp=sharing"",""สุราษฎร์ธานี!J126"")"),0)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IFERROR(__xludf.DUMMYFUNCTION("IMPORTRANGE(""https://docs.google.com/spreadsheets/d/1IYY_tgx_IHuhSq3AJ5eI5OnqOPBNLWSHKh2a30DoXe8/edit?usp=sharing"",""สุราษฎร์ธานี!J127"")"),0)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IFERROR(__xludf.DUMMYFUNCTION("IMPORTRANGE(""https://docs.google.com/spreadsheets/d/1IYY_tgx_IHuhSq3AJ5eI5OnqOPBNLWSHKh2a30DoXe8/edit?usp=sharing"",""สุราษฎร์ธานี!J128"")"),0)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IFERROR(__xludf.DUMMYFUNCTION("IMPORTRANGE(""https://docs.google.com/spreadsheets/d/1IYY_tgx_IHuhSq3AJ5eI5OnqOPBNLWSHKh2a30DoXe8/edit?usp=sharing"",""สุราษฎร์ธานี!J134"")"),0)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IFERROR(__xludf.DUMMYFUNCTION("IMPORTRANGE(""https://docs.google.com/spreadsheets/d/1IYY_tgx_IHuhSq3AJ5eI5OnqOPBNLWSHKh2a30DoXe8/edit?usp=sharing"",""สุราษฎร์ธานี!J135"")"),0)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IFERROR(__xludf.DUMMYFUNCTION("IMPORTRANGE(""https://docs.google.com/spreadsheets/d/1IYY_tgx_IHuhSq3AJ5eI5OnqOPBNLWSHKh2a30DoXe8/edit?usp=sharing"",""สุราษฎร์ธานี!J136"")"),0)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IFERROR(__xludf.DUMMYFUNCTION("IMPORTRANGE(""https://docs.google.com/spreadsheets/d/1IYY_tgx_IHuhSq3AJ5eI5OnqOPBNLWSHKh2a30DoXe8/edit?usp=sharing"",""สุราษฎร์ธานี!J137"")"),0)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IFERROR(__xludf.DUMMYFUNCTION("IMPORTRANGE(""https://docs.google.com/spreadsheets/d/1IYY_tgx_IHuhSq3AJ5eI5OnqOPBNLWSHKh2a30DoXe8/edit?usp=sharing"",""สุราษฎร์ธานี!I138"")"),0)</f>
        <v>0</v>
      </c>
      <c r="J213" s="210">
        <f ca="1">IFERROR(__xludf.DUMMYFUNCTION("IMPORTRANGE(""https://docs.google.com/spreadsheets/d/1IYY_tgx_IHuhSq3AJ5eI5OnqOPBNLWSHKh2a30DoXe8/edit?usp=sharing"",""สุราษฎร์ธานี!J138"")"),0)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IFERROR(__xludf.DUMMYFUNCTION("IMPORTRANGE(""https://docs.google.com/spreadsheets/d/1IYY_tgx_IHuhSq3AJ5eI5OnqOPBNLWSHKh2a30DoXe8/edit?usp=sharing"",""สุราษฎร์ธานี!I140"")"),0)</f>
        <v>0</v>
      </c>
      <c r="J215" s="210">
        <f ca="1">IFERROR(__xludf.DUMMYFUNCTION("IMPORTRANGE(""https://docs.google.com/spreadsheets/d/1IYY_tgx_IHuhSq3AJ5eI5OnqOPBNLWSHKh2a30DoXe8/edit?usp=sharing"",""สุราษฎร์ธานี!J140"")"),0)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IFERROR(__xludf.DUMMYFUNCTION("IMPORTRANGE(""https://docs.google.com/spreadsheets/d/1IYY_tgx_IHuhSq3AJ5eI5OnqOPBNLWSHKh2a30DoXe8/edit?usp=sharing"",""สุราษฎร์ธานี!I141"")"),0)</f>
        <v>0</v>
      </c>
      <c r="J216" s="210">
        <f ca="1">IFERROR(__xludf.DUMMYFUNCTION("IMPORTRANGE(""https://docs.google.com/spreadsheets/d/1IYY_tgx_IHuhSq3AJ5eI5OnqOPBNLWSHKh2a30DoXe8/edit?usp=sharing"",""สุราษฎร์ธานี!J141"")"),0)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IFERROR(__xludf.DUMMYFUNCTION("IMPORTRANGE(""https://docs.google.com/spreadsheets/d/1IYY_tgx_IHuhSq3AJ5eI5OnqOPBNLWSHKh2a30DoXe8/edit?usp=sharing"",""สุราษฎร์ธานี!J142"")"),0)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IFERROR(__xludf.DUMMYFUNCTION("IMPORTRANGE(""https://docs.google.com/spreadsheets/d/1IYY_tgx_IHuhSq3AJ5eI5OnqOPBNLWSHKh2a30DoXe8/edit?usp=sharing"",""สุราษฎร์ธานี!J143"")"),0)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IFERROR(__xludf.DUMMYFUNCTION("IMPORTRANGE(""https://docs.google.com/spreadsheets/d/1IYY_tgx_IHuhSq3AJ5eI5OnqOPBNLWSHKh2a30DoXe8/edit?usp=sharing"",""สุราษฎร์ธานี!I144"")"),14)</f>
        <v>14</v>
      </c>
      <c r="J219" s="273">
        <f ca="1">IFERROR(__xludf.DUMMYFUNCTION("IMPORTRANGE(""https://docs.google.com/spreadsheets/d/1IYY_tgx_IHuhSq3AJ5eI5OnqOPBNLWSHKh2a30DoXe8/edit?usp=sharing"",""สุราษฎร์ธานี!J144"")"),14)</f>
        <v>14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20210</v>
      </c>
      <c r="M224" s="173">
        <f ca="1">IFERROR(__xludf.DUMMYFUNCTION("IMPORTRANGE(""https://docs.google.com/spreadsheets/d/1Yj_ptqi66GCucihVvJfMjLAmec39IyEx_6qawtMGysU/edit?usp=sharing"",""สบก!BS94"")"),20210)</f>
        <v>20210</v>
      </c>
      <c r="N224" s="174">
        <f ca="1">IFERROR(__xludf.DUMMYFUNCTION("IMPORTRANGE(""https://docs.google.com/spreadsheets/d/1Yj_ptqi66GCucihVvJfMjLAmec39IyEx_6qawtMGysU/edit?usp=sharing"",""สบก!BT94"")"),20210)</f>
        <v>20210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IFERROR(__xludf.DUMMYFUNCTION("IMPORTRANGE(""https://docs.google.com/spreadsheets/d/1Yj_ptqi66GCucihVvJfMjLAmec39IyEx_6qawtMGysU/edit?usp=sharing"",""สบก!BP94"")"),20210)</f>
        <v>20210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IFERROR(__xludf.DUMMYFUNCTION("IMPORTRANGE(""https://docs.google.com/spreadsheets/d/1IYY_tgx_IHuhSq3AJ5eI5OnqOPBNLWSHKh2a30DoXe8/edit?usp=sharing"",""สุราษฎร์ธานี!I149"")"),14)</f>
        <v>14</v>
      </c>
      <c r="J229" s="273">
        <f ca="1">IFERROR(__xludf.DUMMYFUNCTION("IMPORTRANGE(""https://docs.google.com/spreadsheets/d/1IYY_tgx_IHuhSq3AJ5eI5OnqOPBNLWSHKh2a30DoXe8/edit?usp=sharing"",""สุราษฎร์ธานี!J149"")"),14)</f>
        <v>14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IFERROR(__xludf.DUMMYFUNCTION("IMPORTRANGE(""https://docs.google.com/spreadsheets/d/1IYY_tgx_IHuhSq3AJ5eI5OnqOPBNLWSHKh2a30DoXe8/edit?usp=sharing"",""สุราษฎร์ธานี!J151"")"),0)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IFERROR(__xludf.DUMMYFUNCTION("IMPORTRANGE(""https://docs.google.com/spreadsheets/d/1IYY_tgx_IHuhSq3AJ5eI5OnqOPBNLWSHKh2a30DoXe8/edit?usp=sharing"",""สุราษฎร์ธานี!J152"")"),1)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IFERROR(__xludf.DUMMYFUNCTION("IMPORTRANGE(""https://docs.google.com/spreadsheets/d/1IYY_tgx_IHuhSq3AJ5eI5OnqOPBNLWSHKh2a30DoXe8/edit?usp=sharing"",""สุราษฎร์ธานี!J153"")"),1)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IFERROR(__xludf.DUMMYFUNCTION("IMPORTRANGE(""https://docs.google.com/spreadsheets/d/1IYY_tgx_IHuhSq3AJ5eI5OnqOPBNLWSHKh2a30DoXe8/edit?usp=sharing"",""สุราษฎร์ธานี!J154"")"),1)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IFERROR(__xludf.DUMMYFUNCTION("IMPORTRANGE(""https://docs.google.com/spreadsheets/d/1IYY_tgx_IHuhSq3AJ5eI5OnqOPBNLWSHKh2a30DoXe8/edit?usp=sharing"",""สุราษฎร์ธานี!I155"")"),14)</f>
        <v>14</v>
      </c>
      <c r="J235" s="195">
        <f ca="1">IFERROR(__xludf.DUMMYFUNCTION("IMPORTRANGE(""https://docs.google.com/spreadsheets/d/1IYY_tgx_IHuhSq3AJ5eI5OnqOPBNLWSHKh2a30DoXe8/edit?usp=sharing"",""สุราษฎร์ธานี!J155"")"),14)</f>
        <v>14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IFERROR(__xludf.DUMMYFUNCTION("IMPORTRANGE(""https://docs.google.com/spreadsheets/d/1IYY_tgx_IHuhSq3AJ5eI5OnqOPBNLWSHKh2a30DoXe8/edit?usp=sharing"",""สุราษฎร์ธานี!J156"")"),1)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IFERROR(__xludf.DUMMYFUNCTION("IMPORTRANGE(""https://docs.google.com/spreadsheets/d/1IYY_tgx_IHuhSq3AJ5eI5OnqOPBNLWSHKh2a30DoXe8/edit?usp=sharing"",""สุราษฎร์ธานี!J157"")"),1)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IFERROR(__xludf.DUMMYFUNCTION("IMPORTRANGE(""https://docs.google.com/spreadsheets/d/1IYY_tgx_IHuhSq3AJ5eI5OnqOPBNLWSHKh2a30DoXe8/edit?usp=sharing"",""สุราษฎร์ธานี!I158"")"),0)</f>
        <v>0</v>
      </c>
      <c r="J238" s="273">
        <f ca="1">IFERROR(__xludf.DUMMYFUNCTION("IMPORTRANGE(""https://docs.google.com/spreadsheets/d/1IYY_tgx_IHuhSq3AJ5eI5OnqOPBNLWSHKh2a30DoXe8/edit?usp=sharing"",""สุราษฎร์ธานี!J158"")"),0)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IFERROR(__xludf.DUMMYFUNCTION("IMPORTRANGE(""https://docs.google.com/spreadsheets/d/1IYY_tgx_IHuhSq3AJ5eI5OnqOPBNLWSHKh2a30DoXe8/edit?usp=sharing"",""สุราษฎร์ธานี!J161"")"),0)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IFERROR(__xludf.DUMMYFUNCTION("IMPORTRANGE(""https://docs.google.com/spreadsheets/d/1IYY_tgx_IHuhSq3AJ5eI5OnqOPBNLWSHKh2a30DoXe8/edit?usp=sharing"",""สุราษฎร์ธานี!J162"")"),0)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IFERROR(__xludf.DUMMYFUNCTION("IMPORTRANGE(""https://docs.google.com/spreadsheets/d/1IYY_tgx_IHuhSq3AJ5eI5OnqOPBNLWSHKh2a30DoXe8/edit?usp=sharing"",""สุราษฎร์ธานี!J163"")"),0)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IFERROR(__xludf.DUMMYFUNCTION("IMPORTRANGE(""https://docs.google.com/spreadsheets/d/1IYY_tgx_IHuhSq3AJ5eI5OnqOPBNLWSHKh2a30DoXe8/edit?usp=sharing"",""สุราษฎร์ธานี!I164"")"),0)</f>
        <v>0</v>
      </c>
      <c r="J244" s="194">
        <f ca="1">IFERROR(__xludf.DUMMYFUNCTION("IMPORTRANGE(""https://docs.google.com/spreadsheets/d/1IYY_tgx_IHuhSq3AJ5eI5OnqOPBNLWSHKh2a30DoXe8/edit?usp=sharing"",""สุราษฎร์ธานี!J164"")"),0)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IFERROR(__xludf.DUMMYFUNCTION("IMPORTRANGE(""https://docs.google.com/spreadsheets/d/1IYY_tgx_IHuhSq3AJ5eI5OnqOPBNLWSHKh2a30DoXe8/edit?usp=sharing"",""สุราษฎร์ธานี!J165"")"),0)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89000</v>
      </c>
      <c r="M250" s="156">
        <f t="shared" ca="1" si="77"/>
        <v>89000</v>
      </c>
      <c r="N250" s="156">
        <f t="shared" ca="1" si="77"/>
        <v>84720</v>
      </c>
      <c r="O250" s="155">
        <f t="shared" ref="O250:O252" ca="1" si="78">IF(L250&gt;0,N250*100/L250,0)</f>
        <v>95.19101123595506</v>
      </c>
      <c r="P250" s="155">
        <f t="shared" ref="P250:P252" ca="1" si="79">IF(M250&gt;0,N250*100/M250,0)</f>
        <v>95.19101123595506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89000</v>
      </c>
      <c r="M252" s="161">
        <f t="shared" ca="1" si="81"/>
        <v>89000</v>
      </c>
      <c r="N252" s="161">
        <f t="shared" ca="1" si="81"/>
        <v>84720</v>
      </c>
      <c r="O252" s="160">
        <f t="shared" ca="1" si="78"/>
        <v>95.19101123595506</v>
      </c>
      <c r="P252" s="160">
        <f t="shared" ca="1" si="79"/>
        <v>95.19101123595506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89000</v>
      </c>
      <c r="M254" s="173">
        <f ca="1">IFERROR(__xludf.DUMMYFUNCTION("IMPORTRANGE(""https://docs.google.com/spreadsheets/d/1Yj_ptqi66GCucihVvJfMjLAmec39IyEx_6qawtMGysU/edit?usp=sharing"",""สบก!CB94"")"),89000)</f>
        <v>89000</v>
      </c>
      <c r="N254" s="174">
        <f ca="1">IFERROR(__xludf.DUMMYFUNCTION("IMPORTRANGE(""https://docs.google.com/spreadsheets/d/1Yj_ptqi66GCucihVvJfMjLAmec39IyEx_6qawtMGysU/edit?usp=sharing"",""สบก!CC94"")"),84720)</f>
        <v>84720</v>
      </c>
      <c r="O254" s="175">
        <f ca="1">IF(L254&gt;0,N254*100/L254,0)</f>
        <v>95.19101123595506</v>
      </c>
      <c r="P254" s="175">
        <f ca="1">IF(M254&gt;0,N254*100/M254,0)</f>
        <v>95.19101123595506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IFERROR(__xludf.DUMMYFUNCTION("IMPORTRANGE(""https://docs.google.com/spreadsheets/d/1Yj_ptqi66GCucihVvJfMjLAmec39IyEx_6qawtMGysU/edit?usp=sharing"",""สบก!BY94"")"),89000)</f>
        <v>89000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IFERROR(__xludf.DUMMYFUNCTION("IMPORTRANGE(""https://docs.google.com/spreadsheets/d/1IYY_tgx_IHuhSq3AJ5eI5OnqOPBNLWSHKh2a30DoXe8/edit?usp=sharing"",""สุราษฎร์ธานี!J175"")"),0)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IFERROR(__xludf.DUMMYFUNCTION("IMPORTRANGE(""https://docs.google.com/spreadsheets/d/1IYY_tgx_IHuhSq3AJ5eI5OnqOPBNLWSHKh2a30DoXe8/edit?usp=sharing"",""สุราษฎร์ธานี!J176"")"),1)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IFERROR(__xludf.DUMMYFUNCTION("IMPORTRANGE(""https://docs.google.com/spreadsheets/d/1IYY_tgx_IHuhSq3AJ5eI5OnqOPBNLWSHKh2a30DoXe8/edit?usp=sharing"",""สุราษฎร์ธานี!J177"")"),1)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IFERROR(__xludf.DUMMYFUNCTION("IMPORTRANGE(""https://docs.google.com/spreadsheets/d/1IYY_tgx_IHuhSq3AJ5eI5OnqOPBNLWSHKh2a30DoXe8/edit?usp=sharing"",""สุราษฎร์ธานี!J178"")"),1)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IFERROR(__xludf.DUMMYFUNCTION("IMPORTRANGE(""https://docs.google.com/spreadsheets/d/1IYY_tgx_IHuhSq3AJ5eI5OnqOPBNLWSHKh2a30DoXe8/edit?usp=sharing"",""สุราษฎร์ธานี!I179"")"),1)</f>
        <v>1</v>
      </c>
      <c r="J264" s="195">
        <f ca="1">IFERROR(__xludf.DUMMYFUNCTION("IMPORTRANGE(""https://docs.google.com/spreadsheets/d/1IYY_tgx_IHuhSq3AJ5eI5OnqOPBNLWSHKh2a30DoXe8/edit?usp=sharing"",""สุราษฎร์ธานี!J179"")"),1)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IFERROR(__xludf.DUMMYFUNCTION("IMPORTRANGE(""https://docs.google.com/spreadsheets/d/1IYY_tgx_IHuhSq3AJ5eI5OnqOPBNLWSHKh2a30DoXe8/edit?usp=sharing"",""สุราษฎร์ธานี!I180"")"),25)</f>
        <v>25</v>
      </c>
      <c r="J265" s="195">
        <f ca="1">IFERROR(__xludf.DUMMYFUNCTION("IMPORTRANGE(""https://docs.google.com/spreadsheets/d/1IYY_tgx_IHuhSq3AJ5eI5OnqOPBNLWSHKh2a30DoXe8/edit?usp=sharing"",""สุราษฎร์ธานี!J180"")"),25)</f>
        <v>25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IFERROR(__xludf.DUMMYFUNCTION("IMPORTRANGE(""https://docs.google.com/spreadsheets/d/1IYY_tgx_IHuhSq3AJ5eI5OnqOPBNLWSHKh2a30DoXe8/edit?usp=sharing"",""สุราษฎร์ธานี!I181"")"),25)</f>
        <v>25</v>
      </c>
      <c r="J266" s="195">
        <f ca="1">IFERROR(__xludf.DUMMYFUNCTION("IMPORTRANGE(""https://docs.google.com/spreadsheets/d/1IYY_tgx_IHuhSq3AJ5eI5OnqOPBNLWSHKh2a30DoXe8/edit?usp=sharing"",""สุราษฎร์ธานี!J181"")"),25)</f>
        <v>25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IFERROR(__xludf.DUMMYFUNCTION("IMPORTRANGE(""https://docs.google.com/spreadsheets/d/1IYY_tgx_IHuhSq3AJ5eI5OnqOPBNLWSHKh2a30DoXe8/edit?usp=sharing"",""สุราษฎร์ธานี!I182"")"),1)</f>
        <v>1</v>
      </c>
      <c r="J267" s="195">
        <f ca="1">IFERROR(__xludf.DUMMYFUNCTION("IMPORTRANGE(""https://docs.google.com/spreadsheets/d/1IYY_tgx_IHuhSq3AJ5eI5OnqOPBNLWSHKh2a30DoXe8/edit?usp=sharing"",""สุราษฎร์ธานี!J182"")"),1)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IFERROR(__xludf.DUMMYFUNCTION("IMPORTRANGE(""https://docs.google.com/spreadsheets/d/1IYY_tgx_IHuhSq3AJ5eI5OnqOPBNLWSHKh2a30DoXe8/edit?usp=sharing"",""สุราษฎร์ธานี!J183"")"),0)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IFERROR(__xludf.DUMMYFUNCTION("IMPORTRANGE(""https://docs.google.com/spreadsheets/d/1IYY_tgx_IHuhSq3AJ5eI5OnqOPBNLWSHKh2a30DoXe8/edit?usp=sharing"",""สุราษฎร์ธานี!J184"")"),0)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447600</v>
      </c>
      <c r="M271" s="156">
        <f t="shared" ca="1" si="83"/>
        <v>447600</v>
      </c>
      <c r="N271" s="156">
        <f t="shared" ca="1" si="83"/>
        <v>348596.86</v>
      </c>
      <c r="O271" s="155">
        <f t="shared" ref="O271:O273" ca="1" si="84">IF(L271&gt;0,N271*100/L271,0)</f>
        <v>77.881336014298483</v>
      </c>
      <c r="P271" s="155">
        <f t="shared" ref="P271:P273" ca="1" si="85">IF(M271&gt;0,N271*100/M271,0)</f>
        <v>77.881336014298483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447600</v>
      </c>
      <c r="M273" s="161">
        <f t="shared" ca="1" si="87"/>
        <v>447600</v>
      </c>
      <c r="N273" s="161">
        <f t="shared" ca="1" si="87"/>
        <v>348596.86</v>
      </c>
      <c r="O273" s="160">
        <f t="shared" ca="1" si="84"/>
        <v>77.881336014298483</v>
      </c>
      <c r="P273" s="160">
        <f t="shared" ca="1" si="85"/>
        <v>77.881336014298483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447600</v>
      </c>
      <c r="M275" s="173">
        <f ca="1">IFERROR(__xludf.DUMMYFUNCTION("IMPORTRANGE(""https://docs.google.com/spreadsheets/d/1Yj_ptqi66GCucihVvJfMjLAmec39IyEx_6qawtMGysU/edit?usp=sharing"",""สบก!CK94"")"),447600)</f>
        <v>447600</v>
      </c>
      <c r="N275" s="174">
        <f ca="1">IFERROR(__xludf.DUMMYFUNCTION("IMPORTRANGE(""https://docs.google.com/spreadsheets/d/1Yj_ptqi66GCucihVvJfMjLAmec39IyEx_6qawtMGysU/edit?usp=sharing"",""สบก!CL94"")"),348596.86)</f>
        <v>348596.86</v>
      </c>
      <c r="O275" s="175">
        <f ca="1">IF(L275&gt;0,N275*100/L275,0)</f>
        <v>77.881336014298483</v>
      </c>
      <c r="P275" s="175">
        <f ca="1">IF(M275&gt;0,N275*100/M275,0)</f>
        <v>77.881336014298483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IFERROR(__xludf.DUMMYFUNCTION("IMPORTRANGE(""https://docs.google.com/spreadsheets/d/1Yj_ptqi66GCucihVvJfMjLAmec39IyEx_6qawtMGysU/edit?usp=sharing"",""สบก!CG94"")"),264000)</f>
        <v>264000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IFERROR(__xludf.DUMMYFUNCTION("IMPORTRANGE(""https://docs.google.com/spreadsheets/d/1Yj_ptqi66GCucihVvJfMjLAmec39IyEx_6qawtMGysU/edit?usp=sharing"",""สบก!CH94"")"),183600)</f>
        <v>183600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IFERROR(__xludf.DUMMYFUNCTION("IMPORTRANGE(""https://docs.google.com/spreadsheets/d/1IYY_tgx_IHuhSq3AJ5eI5OnqOPBNLWSHKh2a30DoXe8/edit?usp=sharing"",""สุราษฎร์ธานี!J191"")"),0)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IFERROR(__xludf.DUMMYFUNCTION("IMPORTRANGE(""https://docs.google.com/spreadsheets/d/1IYY_tgx_IHuhSq3AJ5eI5OnqOPBNLWSHKh2a30DoXe8/edit?usp=sharing"",""สุราษฎร์ธานี!J192"")"),1)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IFERROR(__xludf.DUMMYFUNCTION("IMPORTRANGE(""https://docs.google.com/spreadsheets/d/1IYY_tgx_IHuhSq3AJ5eI5OnqOPBNLWSHKh2a30DoXe8/edit?usp=sharing"",""สุราษฎร์ธานี!J193"")"),1)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IFERROR(__xludf.DUMMYFUNCTION("IMPORTRANGE(""https://docs.google.com/spreadsheets/d/1IYY_tgx_IHuhSq3AJ5eI5OnqOPBNLWSHKh2a30DoXe8/edit?usp=sharing"",""สุราษฎร์ธานี!J194"")"),1)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IFERROR(__xludf.DUMMYFUNCTION("IMPORTRANGE(""https://docs.google.com/spreadsheets/d/1IYY_tgx_IHuhSq3AJ5eI5OnqOPBNLWSHKh2a30DoXe8/edit?usp=sharing"",""สุราษฎร์ธานี!I195"")"),20)</f>
        <v>20</v>
      </c>
      <c r="J285" s="195">
        <f ca="1">IFERROR(__xludf.DUMMYFUNCTION("IMPORTRANGE(""https://docs.google.com/spreadsheets/d/1IYY_tgx_IHuhSq3AJ5eI5OnqOPBNLWSHKh2a30DoXe8/edit?usp=sharing"",""สุราษฎร์ธานี!J195"")"),20)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IFERROR(__xludf.DUMMYFUNCTION("IMPORTRANGE(""https://docs.google.com/spreadsheets/d/1IYY_tgx_IHuhSq3AJ5eI5OnqOPBNLWSHKh2a30DoXe8/edit?usp=sharing"",""สุราษฎร์ธานี!J196"")"),0)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IFERROR(__xludf.DUMMYFUNCTION("IMPORTRANGE(""https://docs.google.com/spreadsheets/d/1IYY_tgx_IHuhSq3AJ5eI5OnqOPBNLWSHKh2a30DoXe8/edit?usp=sharing"",""สุราษฎร์ธานี!J197"")"),0)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84260</v>
      </c>
      <c r="M290" s="156">
        <f t="shared" ca="1" si="88"/>
        <v>84260</v>
      </c>
      <c r="N290" s="156">
        <f t="shared" ca="1" si="88"/>
        <v>84260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84260</v>
      </c>
      <c r="M292" s="161">
        <f t="shared" ca="1" si="92"/>
        <v>84260</v>
      </c>
      <c r="N292" s="161">
        <f t="shared" ca="1" si="92"/>
        <v>84260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72260</v>
      </c>
      <c r="M294" s="173">
        <f ca="1">IFERROR(__xludf.DUMMYFUNCTION("IMPORTRANGE(""https://docs.google.com/spreadsheets/d/1Yj_ptqi66GCucihVvJfMjLAmec39IyEx_6qawtMGysU/edit?usp=sharing"",""สบก!CT94"")"),72260)</f>
        <v>72260</v>
      </c>
      <c r="N294" s="174">
        <f ca="1">IFERROR(__xludf.DUMMYFUNCTION("IMPORTRANGE(""https://docs.google.com/spreadsheets/d/1Yj_ptqi66GCucihVvJfMjLAmec39IyEx_6qawtMGysU/edit?usp=sharing"",""สบก!CU94"")"),72260)</f>
        <v>72260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IFERROR(__xludf.DUMMYFUNCTION("IMPORTRANGE(""https://docs.google.com/spreadsheets/d/1Yj_ptqi66GCucihVvJfMjLAmec39IyEx_6qawtMGysU/edit?usp=sharing"",""สบก!CQ94"")"),72260)</f>
        <v>72260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IFERROR(__xludf.DUMMYFUNCTION("IMPORTRANGE(""https://docs.google.com/spreadsheets/d/1IYY_tgx_IHuhSq3AJ5eI5OnqOPBNLWSHKh2a30DoXe8/edit?usp=sharing"",""สุราษฎร์ธานี!J205"")"),0)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IFERROR(__xludf.DUMMYFUNCTION("IMPORTRANGE(""https://docs.google.com/spreadsheets/d/1IYY_tgx_IHuhSq3AJ5eI5OnqOPBNLWSHKh2a30DoXe8/edit?usp=sharing"",""สุราษฎร์ธานี!J206"")"),1)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IFERROR(__xludf.DUMMYFUNCTION("IMPORTRANGE(""https://docs.google.com/spreadsheets/d/1IYY_tgx_IHuhSq3AJ5eI5OnqOPBNLWSHKh2a30DoXe8/edit?usp=sharing"",""สุราษฎร์ธานี!J207"")"),1)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IFERROR(__xludf.DUMMYFUNCTION("IMPORTRANGE(""https://docs.google.com/spreadsheets/d/1IYY_tgx_IHuhSq3AJ5eI5OnqOPBNLWSHKh2a30DoXe8/edit?usp=sharing"",""สุราษฎร์ธานี!J208"")"),1)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IFERROR(__xludf.DUMMYFUNCTION("IMPORTRANGE(""https://docs.google.com/spreadsheets/d/1IYY_tgx_IHuhSq3AJ5eI5OnqOPBNLWSHKh2a30DoXe8/edit?usp=sharing"",""สุราษฎร์ธานี!I209"")"),15)</f>
        <v>15</v>
      </c>
      <c r="J304" s="210">
        <f ca="1">IFERROR(__xludf.DUMMYFUNCTION("IMPORTRANGE(""https://docs.google.com/spreadsheets/d/1IYY_tgx_IHuhSq3AJ5eI5OnqOPBNLWSHKh2a30DoXe8/edit?usp=sharing"",""สุราษฎร์ธานี!J209"")"),15)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IFERROR(__xludf.DUMMYFUNCTION("IMPORTRANGE(""https://docs.google.com/spreadsheets/d/1IYY_tgx_IHuhSq3AJ5eI5OnqOPBNLWSHKh2a30DoXe8/edit?usp=sharing"",""สุราษฎร์ธานี!I211"")"),15)</f>
        <v>15</v>
      </c>
      <c r="J306" s="210">
        <f ca="1">IFERROR(__xludf.DUMMYFUNCTION("IMPORTRANGE(""https://docs.google.com/spreadsheets/d/1IYY_tgx_IHuhSq3AJ5eI5OnqOPBNLWSHKh2a30DoXe8/edit?usp=sharing"",""สุราษฎร์ธานี!J211"")"),15)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IFERROR(__xludf.DUMMYFUNCTION("IMPORTRANGE(""https://docs.google.com/spreadsheets/d/1IYY_tgx_IHuhSq3AJ5eI5OnqOPBNLWSHKh2a30DoXe8/edit?usp=sharing"",""สุราษฎร์ธานี!J212"")"),0)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IFERROR(__xludf.DUMMYFUNCTION("IMPORTRANGE(""https://docs.google.com/spreadsheets/d/1IYY_tgx_IHuhSq3AJ5eI5OnqOPBNLWSHKh2a30DoXe8/edit?usp=sharing"",""สุราษฎร์ธานี!J213"")"),0)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278600</v>
      </c>
      <c r="N310" s="156">
        <f t="shared" ca="1" si="93"/>
        <v>227909.76000000001</v>
      </c>
      <c r="O310" s="155">
        <f t="shared" ref="O310:O312" ca="1" si="94">IF(L310&gt;0,N310*100/L310,0)</f>
        <v>81.805369705671211</v>
      </c>
      <c r="P310" s="155">
        <f t="shared" ref="P310:P312" ca="1" si="95">IF(M310&gt;0,N310*100/M310,0)</f>
        <v>81.805369705671211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278600</v>
      </c>
      <c r="N312" s="161">
        <f t="shared" ca="1" si="97"/>
        <v>227909.76000000001</v>
      </c>
      <c r="O312" s="160">
        <f t="shared" ca="1" si="94"/>
        <v>81.805369705671211</v>
      </c>
      <c r="P312" s="160">
        <f t="shared" ca="1" si="95"/>
        <v>81.805369705671211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278600</v>
      </c>
      <c r="M314" s="173">
        <f ca="1">IFERROR(__xludf.DUMMYFUNCTION("IMPORTRANGE(""https://docs.google.com/spreadsheets/d/1Yj_ptqi66GCucihVvJfMjLAmec39IyEx_6qawtMGysU/edit?usp=sharing"",""สบก!DC94"")"),278600)</f>
        <v>278600</v>
      </c>
      <c r="N314" s="174">
        <f ca="1">IFERROR(__xludf.DUMMYFUNCTION("IMPORTRANGE(""https://docs.google.com/spreadsheets/d/1Yj_ptqi66GCucihVvJfMjLAmec39IyEx_6qawtMGysU/edit?usp=sharing"",""สบก!DD94"")"),227909.76)</f>
        <v>227909.76000000001</v>
      </c>
      <c r="O314" s="175">
        <f ca="1">IF(L314&gt;0,N314*100/L314,0)</f>
        <v>81.805369705671211</v>
      </c>
      <c r="P314" s="175">
        <f ca="1">IF(M314&gt;0,N314*100/M314,0)</f>
        <v>81.805369705671211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IFERROR(__xludf.DUMMYFUNCTION("IMPORTRANGE(""https://docs.google.com/spreadsheets/d/1Yj_ptqi66GCucihVvJfMjLAmec39IyEx_6qawtMGysU/edit?usp=sharing"",""สบก!CZ94"")"),278600)</f>
        <v>278600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IFERROR(__xludf.DUMMYFUNCTION("IMPORTRANGE(""https://docs.google.com/spreadsheets/d/1IYY_tgx_IHuhSq3AJ5eI5OnqOPBNLWSHKh2a30DoXe8/edit?usp=sharing"",""สุราษฎร์ธานี!J220"")"),0)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IFERROR(__xludf.DUMMYFUNCTION("IMPORTRANGE(""https://docs.google.com/spreadsheets/d/1IYY_tgx_IHuhSq3AJ5eI5OnqOPBNLWSHKh2a30DoXe8/edit?usp=sharing"",""สุราษฎร์ธานี!J221"")"),1)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IFERROR(__xludf.DUMMYFUNCTION("IMPORTRANGE(""https://docs.google.com/spreadsheets/d/1IYY_tgx_IHuhSq3AJ5eI5OnqOPBNLWSHKh2a30DoXe8/edit?usp=sharing"",""สุราษฎร์ธานี!J222"")"),1)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IFERROR(__xludf.DUMMYFUNCTION("IMPORTRANGE(""https://docs.google.com/spreadsheets/d/1IYY_tgx_IHuhSq3AJ5eI5OnqOPBNLWSHKh2a30DoXe8/edit?usp=sharing"",""สุราษฎร์ธานี!J223"")"),1)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IFERROR(__xludf.DUMMYFUNCTION("IMPORTRANGE(""https://docs.google.com/spreadsheets/d/1IYY_tgx_IHuhSq3AJ5eI5OnqOPBNLWSHKh2a30DoXe8/edit?usp=sharing"",""สุราษฎร์ธานี!I224"")"),1)</f>
        <v>1</v>
      </c>
      <c r="J324" s="210">
        <f ca="1">IFERROR(__xludf.DUMMYFUNCTION("IMPORTRANGE(""https://docs.google.com/spreadsheets/d/1IYY_tgx_IHuhSq3AJ5eI5OnqOPBNLWSHKh2a30DoXe8/edit?usp=sharing"",""สุราษฎร์ธานี!J224"")"),1)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IFERROR(__xludf.DUMMYFUNCTION("IMPORTRANGE(""https://docs.google.com/spreadsheets/d/1IYY_tgx_IHuhSq3AJ5eI5OnqOPBNLWSHKh2a30DoXe8/edit?usp=sharing"",""สุราษฎร์ธานี!J225"")"),0)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IFERROR(__xludf.DUMMYFUNCTION("IMPORTRANGE(""https://docs.google.com/spreadsheets/d/1IYY_tgx_IHuhSq3AJ5eI5OnqOPBNLWSHKh2a30DoXe8/edit?usp=sharing"",""สุราษฎร์ธานี!J226"")"),0)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IFERROR(__xludf.DUMMYFUNCTION("IMPORTRANGE(""https://docs.google.com/spreadsheets/d/1IYY_tgx_IHuhSq3AJ5eI5OnqOPBNLWSHKh2a30DoXe8/edit?usp=sharing"",""สุราษฎร์ธานี!I228"")"),750)</f>
        <v>750</v>
      </c>
      <c r="J328" s="345">
        <f ca="1">IFERROR(__xludf.DUMMYFUNCTION("IMPORTRANGE(""https://docs.google.com/spreadsheets/d/1IYY_tgx_IHuhSq3AJ5eI5OnqOPBNLWSHKh2a30DoXe8/edit?usp=sharing"",""สุราษฎร์ธานี!J228"")"),943)</f>
        <v>943</v>
      </c>
      <c r="K328" s="323">
        <f ca="1">IF(I328&gt;0,J328*100/I328,0)</f>
        <v>125.73333333333333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2000810</v>
      </c>
      <c r="M329" s="156">
        <f t="shared" ca="1" si="98"/>
        <v>2059810</v>
      </c>
      <c r="N329" s="156">
        <f t="shared" ca="1" si="98"/>
        <v>1380659.35</v>
      </c>
      <c r="O329" s="155">
        <f t="shared" ref="O329:O331" ca="1" si="99">IF(L329&gt;0,N329*100/L329,0)</f>
        <v>69.005020466710988</v>
      </c>
      <c r="P329" s="155">
        <f t="shared" ref="P329:P331" ca="1" si="100">IF(M329&gt;0,N329*100/M329,0)</f>
        <v>67.028480782208064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2000810</v>
      </c>
      <c r="M331" s="161">
        <f t="shared" ca="1" si="102"/>
        <v>2059810</v>
      </c>
      <c r="N331" s="161">
        <f t="shared" ca="1" si="102"/>
        <v>1380659.35</v>
      </c>
      <c r="O331" s="160">
        <f t="shared" ca="1" si="99"/>
        <v>69.005020466710988</v>
      </c>
      <c r="P331" s="160">
        <f t="shared" ca="1" si="100"/>
        <v>67.028480782208064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1864010</v>
      </c>
      <c r="M333" s="173">
        <f ca="1">IFERROR(__xludf.DUMMYFUNCTION("IMPORTRANGE(""https://docs.google.com/spreadsheets/d/1Yj_ptqi66GCucihVvJfMjLAmec39IyEx_6qawtMGysU/edit?usp=sharing"",""สบก!DL94"")"),1923010)</f>
        <v>1923010</v>
      </c>
      <c r="N333" s="174">
        <f ca="1">IFERROR(__xludf.DUMMYFUNCTION("IMPORTRANGE(""https://docs.google.com/spreadsheets/d/1Yj_ptqi66GCucihVvJfMjLAmec39IyEx_6qawtMGysU/edit?usp=sharing"",""สบก!DM94"")"),1243859.35)</f>
        <v>1243859.3500000001</v>
      </c>
      <c r="O333" s="175">
        <f ca="1">IF(L333&gt;0,N333*100/L333,0)</f>
        <v>66.730293828895782</v>
      </c>
      <c r="P333" s="175">
        <f ca="1">IF(M333&gt;0,N333*100/M333,0)</f>
        <v>64.682937166213392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IFERROR(__xludf.DUMMYFUNCTION("IMPORTRANGE(""https://docs.google.com/spreadsheets/d/1Yj_ptqi66GCucihVvJfMjLAmec39IyEx_6qawtMGysU/edit?usp=sharing"",""สบก!DH94"")"),923400)</f>
        <v>923400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IFERROR(__xludf.DUMMYFUNCTION("IMPORTRANGE(""https://docs.google.com/spreadsheets/d/1Yj_ptqi66GCucihVvJfMjLAmec39IyEx_6qawtMGysU/edit?usp=sharing"",""สบก!DI94"")"),940610)</f>
        <v>940610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IFERROR(__xludf.DUMMYFUNCTION("IMPORTRANGE(""https://docs.google.com/spreadsheets/d/1IYY_tgx_IHuhSq3AJ5eI5OnqOPBNLWSHKh2a30DoXe8/edit?usp=sharing"",""สุราษฎร์ธานี!I234"")"),0)</f>
        <v>0</v>
      </c>
      <c r="J339" s="194">
        <f ca="1">IFERROR(__xludf.DUMMYFUNCTION("IMPORTRANGE(""https://docs.google.com/spreadsheets/d/1IYY_tgx_IHuhSq3AJ5eI5OnqOPBNLWSHKh2a30DoXe8/edit?usp=sharing"",""สุราษฎร์ธานี!J234"")"),797)</f>
        <v>797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IFERROR(__xludf.DUMMYFUNCTION("IMPORTRANGE(""https://docs.google.com/spreadsheets/d/1IYY_tgx_IHuhSq3AJ5eI5OnqOPBNLWSHKh2a30DoXe8/edit?usp=sharing"",""สุราษฎร์ธานี!I235"")"),6000)</f>
        <v>6000</v>
      </c>
      <c r="J340" s="194">
        <f ca="1">IFERROR(__xludf.DUMMYFUNCTION("IMPORTRANGE(""https://docs.google.com/spreadsheets/d/1IYY_tgx_IHuhSq3AJ5eI5OnqOPBNLWSHKh2a30DoXe8/edit?usp=sharing"",""สุราษฎร์ธานี!J235"")"),8259.4)</f>
        <v>8259.4</v>
      </c>
      <c r="K340" s="348">
        <f t="shared" ca="1" si="103"/>
        <v>137.65666666666667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IFERROR(__xludf.DUMMYFUNCTION("IMPORTRANGE(""https://docs.google.com/spreadsheets/d/1IYY_tgx_IHuhSq3AJ5eI5OnqOPBNLWSHKh2a30DoXe8/edit?usp=sharing"",""สุราษฎร์ธานี!I236"")"),750)</f>
        <v>750</v>
      </c>
      <c r="J341" s="194">
        <f ca="1">IFERROR(__xludf.DUMMYFUNCTION("IMPORTRANGE(""https://docs.google.com/spreadsheets/d/1IYY_tgx_IHuhSq3AJ5eI5OnqOPBNLWSHKh2a30DoXe8/edit?usp=sharing"",""สุราษฎร์ธานี!J236"")"),1200)</f>
        <v>1200</v>
      </c>
      <c r="K341" s="348">
        <f t="shared" ca="1" si="103"/>
        <v>160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4">
        <f ca="1">IFERROR(__xludf.DUMMYFUNCTION("IMPORTRANGE(""https://docs.google.com/spreadsheets/d/1IYY_tgx_IHuhSq3AJ5eI5OnqOPBNLWSHKh2a30DoXe8/edit?usp=sharing"",""สุราษฎร์ธานี!J237"")"),16009.9)</f>
        <v>16009.9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IFERROR(__xludf.DUMMYFUNCTION("IMPORTRANGE(""https://docs.google.com/spreadsheets/d/1IYY_tgx_IHuhSq3AJ5eI5OnqOPBNLWSHKh2a30DoXe8/edit?usp=sharing"",""สุราษฎร์ธานี!I238"")"),750)</f>
        <v>750</v>
      </c>
      <c r="J343" s="194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4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IFERROR(__xludf.DUMMYFUNCTION("IMPORTRANGE(""https://docs.google.com/spreadsheets/d/1IYY_tgx_IHuhSq3AJ5eI5OnqOPBNLWSHKh2a30DoXe8/edit?usp=sharing"",""สุราษฎร์ธานี!I240"")"),750)</f>
        <v>750</v>
      </c>
      <c r="J345" s="194">
        <f ca="1">IFERROR(__xludf.DUMMYFUNCTION("IMPORTRANGE(""https://docs.google.com/spreadsheets/d/1IYY_tgx_IHuhSq3AJ5eI5OnqOPBNLWSHKh2a30DoXe8/edit?usp=sharing"",""สุราษฎร์ธานี!J240"")"),943)</f>
        <v>943</v>
      </c>
      <c r="K345" s="348">
        <f t="shared" ca="1" si="103"/>
        <v>125.73333333333333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4">
        <f ca="1">IFERROR(__xludf.DUMMYFUNCTION("IMPORTRANGE(""https://docs.google.com/spreadsheets/d/1IYY_tgx_IHuhSq3AJ5eI5OnqOPBNLWSHKh2a30DoXe8/edit?usp=sharing"",""สุราษฎร์ธานี!J241"")"),13269.1199999999)</f>
        <v>13269.119999999901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IFERROR(__xludf.DUMMYFUNCTION("IMPORTRANGE(""https://docs.google.com/spreadsheets/d/1IYY_tgx_IHuhSq3AJ5eI5OnqOPBNLWSHKh2a30DoXe8/edit?usp=sharing"",""สุราษฎร์ธานี!L242"")"),2759338)</f>
        <v>2759338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IFERROR(__xludf.DUMMYFUNCTION("IMPORTRANGE(""https://docs.google.com/spreadsheets/d/1IYY_tgx_IHuhSq3AJ5eI5OnqOPBNLWSHKh2a30DoXe8/edit?usp=sharing"",""สุราษฎร์ธานี!M242"")"),1491248.21)</f>
        <v>1491248.21</v>
      </c>
      <c r="O347" s="364">
        <f ca="1">+IF(L347&gt;0,N347*100/L347,0)</f>
        <v>54.043694900733435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IFERROR(__xludf.DUMMYFUNCTION("IMPORTRANGE(""https://docs.google.com/spreadsheets/d/1IYY_tgx_IHuhSq3AJ5eI5OnqOPBNLWSHKh2a30DoXe8/edit?usp=sharing"",""สุราษฎร์ธานี!J244"")"),80)</f>
        <v>80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IFERROR(__xludf.DUMMYFUNCTION("IMPORTRANGE(""https://docs.google.com/spreadsheets/d/1IYY_tgx_IHuhSq3AJ5eI5OnqOPBNLWSHKh2a30DoXe8/edit?usp=sharing"",""สุราษฎร์ธานี!M244"")"),272008.63)</f>
        <v>272008.63</v>
      </c>
      <c r="O349" s="379">
        <f ca="1">+IF(L349&gt;0,N349*100/L349,0)</f>
        <v>87.417608304409313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IFERROR(__xludf.DUMMYFUNCTION("IMPORTRANGE(""https://docs.google.com/spreadsheets/d/1IYY_tgx_IHuhSq3AJ5eI5OnqOPBNLWSHKh2a30DoXe8/edit?usp=sharing"",""สุราษฎร์ธานี!J245"")"),40)</f>
        <v>40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IFERROR(__xludf.DUMMYFUNCTION("IMPORTRANGE(""https://docs.google.com/spreadsheets/d/1IYY_tgx_IHuhSq3AJ5eI5OnqOPBNLWSHKh2a30DoXe8/edit?usp=sharing"",""สุราษฎร์ธานี!L246"")"),0)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69"/>
      <c r="N352" s="168">
        <f ca="1">IFERROR(__xludf.DUMMYFUNCTION("IMPORTRANGE(""https://docs.google.com/spreadsheets/d/1IYY_tgx_IHuhSq3AJ5eI5OnqOPBNLWSHKh2a30DoXe8/edit?usp=sharing"",""สุราษฎร์ธานี!M247"")"),272008.63)</f>
        <v>272008.63</v>
      </c>
      <c r="O352" s="169">
        <f t="shared" ca="1" si="105"/>
        <v>87.417608304409313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IFERROR(__xludf.DUMMYFUNCTION("IMPORTRANGE(""https://docs.google.com/spreadsheets/d/1IYY_tgx_IHuhSq3AJ5eI5OnqOPBNLWSHKh2a30DoXe8/edit?usp=sharing"",""สุราษฎร์ธานี!L248"")"),0)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IFERROR(__xludf.DUMMYFUNCTION("IMPORTRANGE(""https://docs.google.com/spreadsheets/d/1IYY_tgx_IHuhSq3AJ5eI5OnqOPBNLWSHKh2a30DoXe8/edit?usp=sharing"",""สุราษฎร์ธานี!M248"")"),0)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5"/>
      <c r="N354" s="172">
        <f ca="1">IFERROR(__xludf.DUMMYFUNCTION("IMPORTRANGE(""https://docs.google.com/spreadsheets/d/1IYY_tgx_IHuhSq3AJ5eI5OnqOPBNLWSHKh2a30DoXe8/edit?usp=sharing"",""สุราษฎร์ธานี!M249"")"),272008.63)</f>
        <v>272008.63</v>
      </c>
      <c r="O354" s="175">
        <f t="shared" ca="1" si="105"/>
        <v>87.417608304409313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IFERROR(__xludf.DUMMYFUNCTION("IMPORTRANGE(""https://docs.google.com/spreadsheets/d/1IYY_tgx_IHuhSq3AJ5eI5OnqOPBNLWSHKh2a30DoXe8/edit?usp=sharing"",""สุราษฎร์ธานี!M251"")"),83000)</f>
        <v>83000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IFERROR(__xludf.DUMMYFUNCTION("IMPORTRANGE(""https://docs.google.com/spreadsheets/d/1IYY_tgx_IHuhSq3AJ5eI5OnqOPBNLWSHKh2a30DoXe8/edit?usp=sharing"",""สุราษฎร์ธานี!M252"")"),127008.63)</f>
        <v>127008.63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IFERROR(__xludf.DUMMYFUNCTION("IMPORTRANGE(""https://docs.google.com/spreadsheets/d/1IYY_tgx_IHuhSq3AJ5eI5OnqOPBNLWSHKh2a30DoXe8/edit?usp=sharing"",""สุราษฎร์ธานี!M253"")"),11600)</f>
        <v>11600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IFERROR(__xludf.DUMMYFUNCTION("IMPORTRANGE(""https://docs.google.com/spreadsheets/d/1IYY_tgx_IHuhSq3AJ5eI5OnqOPBNLWSHKh2a30DoXe8/edit?usp=sharing"",""สุราษฎร์ธานี!J255"")"),0)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IFERROR(__xludf.DUMMYFUNCTION("IMPORTRANGE(""https://docs.google.com/spreadsheets/d/1IYY_tgx_IHuhSq3AJ5eI5OnqOPBNLWSHKh2a30DoXe8/edit?usp=sharing"",""สุราษฎร์ธานี!J256"")"),1)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IFERROR(__xludf.DUMMYFUNCTION("IMPORTRANGE(""https://docs.google.com/spreadsheets/d/1IYY_tgx_IHuhSq3AJ5eI5OnqOPBNLWSHKh2a30DoXe8/edit?usp=sharing"",""สุราษฎร์ธานี!J257"")"),1)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IFERROR(__xludf.DUMMYFUNCTION("IMPORTRANGE(""https://docs.google.com/spreadsheets/d/1IYY_tgx_IHuhSq3AJ5eI5OnqOPBNLWSHKh2a30DoXe8/edit?usp=sharing"",""สุราษฎร์ธานี!J258"")"),1)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IFERROR(__xludf.DUMMYFUNCTION("IMPORTRANGE(""https://docs.google.com/spreadsheets/d/1IYY_tgx_IHuhSq3AJ5eI5OnqOPBNLWSHKh2a30DoXe8/edit?usp=sharing"",""สุราษฎร์ธานี!J166"")"),0)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IFERROR(__xludf.DUMMYFUNCTION("IMPORTRANGE(""https://docs.google.com/spreadsheets/d/1IYY_tgx_IHuhSq3AJ5eI5OnqOPBNLWSHKh2a30DoXe8/edit?usp=sharing"",""สุราษฎร์ธานี!J166"")"),0)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IFERROR(__xludf.DUMMYFUNCTION("IMPORTRANGE(""https://docs.google.com/spreadsheets/d/1IYY_tgx_IHuhSq3AJ5eI5OnqOPBNLWSHKh2a30DoXe8/edit?usp=sharing"",""สุราษฎร์ธานี!J166"")"),0)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IFERROR(__xludf.DUMMYFUNCTION("IMPORTRANGE(""https://docs.google.com/spreadsheets/d/1IYY_tgx_IHuhSq3AJ5eI5OnqOPBNLWSHKh2a30DoXe8/edit?usp=sharing"",""สุราษฎร์ธานี!J166"")"),0)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IFERROR(__xludf.DUMMYFUNCTION("IMPORTRANGE(""https://docs.google.com/spreadsheets/d/1IYY_tgx_IHuhSq3AJ5eI5OnqOPBNLWSHKh2a30DoXe8/edit?usp=sharing"",""สุราษฎร์ธานี!I263"")"),40)</f>
        <v>40</v>
      </c>
      <c r="J368" s="194">
        <f ca="1">IFERROR(__xludf.DUMMYFUNCTION("IMPORTRANGE(""https://docs.google.com/spreadsheets/d/1IYY_tgx_IHuhSq3AJ5eI5OnqOPBNLWSHKh2a30DoXe8/edit?usp=sharing"",""สุราษฎร์ธานี!J263"")"),40)</f>
        <v>40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IFERROR(__xludf.DUMMYFUNCTION("IMPORTRANGE(""https://docs.google.com/spreadsheets/d/1IYY_tgx_IHuhSq3AJ5eI5OnqOPBNLWSHKh2a30DoXe8/edit?usp=sharing"",""สุราษฎร์ธานี!I164"")"),0)</f>
        <v>0</v>
      </c>
      <c r="J369" s="210">
        <f ca="1">IFERROR(__xludf.DUMMYFUNCTION("IMPORTRANGE(""https://docs.google.com/spreadsheets/d/1IYY_tgx_IHuhSq3AJ5eI5OnqOPBNLWSHKh2a30DoXe8/edit?usp=sharing"",""สุราษฎร์ธานี!J164"")"),0)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IFERROR(__xludf.DUMMYFUNCTION("IMPORTRANGE(""https://docs.google.com/spreadsheets/d/1IYY_tgx_IHuhSq3AJ5eI5OnqOPBNLWSHKh2a30DoXe8/edit?usp=sharing"",""สุราษฎร์ธานี!I265"")"),40)</f>
        <v>40</v>
      </c>
      <c r="J370" s="210">
        <f ca="1">IFERROR(__xludf.DUMMYFUNCTION("IMPORTRANGE(""https://docs.google.com/spreadsheets/d/1IYY_tgx_IHuhSq3AJ5eI5OnqOPBNLWSHKh2a30DoXe8/edit?usp=sharing"",""สุราษฎร์ธานี!J265"")"),20)</f>
        <v>20</v>
      </c>
      <c r="K370" s="167">
        <f t="shared" ca="1" si="106"/>
        <v>50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IFERROR(__xludf.DUMMYFUNCTION("IMPORTRANGE(""https://docs.google.com/spreadsheets/d/1IYY_tgx_IHuhSq3AJ5eI5OnqOPBNLWSHKh2a30DoXe8/edit?usp=sharing"",""สุราษฎร์ธานี!I164"")"),0)</f>
        <v>0</v>
      </c>
      <c r="J371" s="195">
        <f ca="1">IFERROR(__xludf.DUMMYFUNCTION("IMPORTRANGE(""https://docs.google.com/spreadsheets/d/1IYY_tgx_IHuhSq3AJ5eI5OnqOPBNLWSHKh2a30DoXe8/edit?usp=sharing"",""สุราษฎร์ธานี!J164"")"),0)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IFERROR(__xludf.DUMMYFUNCTION("IMPORTRANGE(""https://docs.google.com/spreadsheets/d/1IYY_tgx_IHuhSq3AJ5eI5OnqOPBNLWSHKh2a30DoXe8/edit?usp=sharing"",""สุราษฎร์ธานี!I267"")"),40)</f>
        <v>40</v>
      </c>
      <c r="J372" s="195">
        <f ca="1">IFERROR(__xludf.DUMMYFUNCTION("IMPORTRANGE(""https://docs.google.com/spreadsheets/d/1IYY_tgx_IHuhSq3AJ5eI5OnqOPBNLWSHKh2a30DoXe8/edit?usp=sharing"",""สุราษฎร์ธานี!J267"")"),20)</f>
        <v>20</v>
      </c>
      <c r="K372" s="167">
        <f t="shared" ca="1" si="106"/>
        <v>50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IFERROR(__xludf.DUMMYFUNCTION("IMPORTRANGE(""https://docs.google.com/spreadsheets/d/1IYY_tgx_IHuhSq3AJ5eI5OnqOPBNLWSHKh2a30DoXe8/edit?usp=sharing"",""สุราษฎร์ธานี!I164"")"),0)</f>
        <v>0</v>
      </c>
      <c r="J373" s="210">
        <f ca="1">IFERROR(__xludf.DUMMYFUNCTION("IMPORTRANGE(""https://docs.google.com/spreadsheets/d/1IYY_tgx_IHuhSq3AJ5eI5OnqOPBNLWSHKh2a30DoXe8/edit?usp=sharing"",""สุราษฎร์ธานี!J164"")"),0)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IFERROR(__xludf.DUMMYFUNCTION("IMPORTRANGE(""https://docs.google.com/spreadsheets/d/1IYY_tgx_IHuhSq3AJ5eI5OnqOPBNLWSHKh2a30DoXe8/edit?usp=sharing"",""สุราษฎร์ธานี!I164"")"),0)</f>
        <v>0</v>
      </c>
      <c r="J374" s="194">
        <f ca="1">IFERROR(__xludf.DUMMYFUNCTION("IMPORTRANGE(""https://docs.google.com/spreadsheets/d/1IYY_tgx_IHuhSq3AJ5eI5OnqOPBNLWSHKh2a30DoXe8/edit?usp=sharing"",""สุราษฎร์ธานี!J164"")"),0)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IFERROR(__xludf.DUMMYFUNCTION("IMPORTRANGE(""https://docs.google.com/spreadsheets/d/1IYY_tgx_IHuhSq3AJ5eI5OnqOPBNLWSHKh2a30DoXe8/edit?usp=sharing"",""สุราษฎร์ธานี!I270"")"),80)</f>
        <v>80</v>
      </c>
      <c r="J375" s="194">
        <f ca="1">IFERROR(__xludf.DUMMYFUNCTION("IMPORTRANGE(""https://docs.google.com/spreadsheets/d/1IYY_tgx_IHuhSq3AJ5eI5OnqOPBNLWSHKh2a30DoXe8/edit?usp=sharing"",""สุราษฎร์ธานี!J270"")"),80)</f>
        <v>80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IFERROR(__xludf.DUMMYFUNCTION("IMPORTRANGE(""https://docs.google.com/spreadsheets/d/1IYY_tgx_IHuhSq3AJ5eI5OnqOPBNLWSHKh2a30DoXe8/edit?usp=sharing"",""สุราษฎร์ธานี!I271"")"),40)</f>
        <v>40</v>
      </c>
      <c r="J376" s="195">
        <f ca="1">IFERROR(__xludf.DUMMYFUNCTION("IMPORTRANGE(""https://docs.google.com/spreadsheets/d/1IYY_tgx_IHuhSq3AJ5eI5OnqOPBNLWSHKh2a30DoXe8/edit?usp=sharing"",""สุราษฎร์ธานี!J271"")"),40)</f>
        <v>40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IFERROR(__xludf.DUMMYFUNCTION("IMPORTRANGE(""https://docs.google.com/spreadsheets/d/1IYY_tgx_IHuhSq3AJ5eI5OnqOPBNLWSHKh2a30DoXe8/edit?usp=sharing"",""สุราษฎร์ธานี!I272"")"),40)</f>
        <v>40</v>
      </c>
      <c r="J377" s="210">
        <f ca="1">IFERROR(__xludf.DUMMYFUNCTION("IMPORTRANGE(""https://docs.google.com/spreadsheets/d/1IYY_tgx_IHuhSq3AJ5eI5OnqOPBNLWSHKh2a30DoXe8/edit?usp=sharing"",""สุราษฎร์ธานี!J272"")"),40)</f>
        <v>40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IFERROR(__xludf.DUMMYFUNCTION("IMPORTRANGE(""https://docs.google.com/spreadsheets/d/1IYY_tgx_IHuhSq3AJ5eI5OnqOPBNLWSHKh2a30DoXe8/edit?usp=sharing"",""สุราษฎร์ธานี!J273"")"),0)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IFERROR(__xludf.DUMMYFUNCTION("IMPORTRANGE(""https://docs.google.com/spreadsheets/d/1IYY_tgx_IHuhSq3AJ5eI5OnqOPBNLWSHKh2a30DoXe8/edit?usp=sharing"",""สุราษฎร์ธานี!J274"")"),0)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IFERROR(__xludf.DUMMYFUNCTION("IMPORTRANGE(""https://docs.google.com/spreadsheets/d/1IYY_tgx_IHuhSq3AJ5eI5OnqOPBNLWSHKh2a30DoXe8/edit?usp=sharing"",""สุราษฎร์ธานี!M275"")"),691242.98)</f>
        <v>691242.98</v>
      </c>
      <c r="O380" s="379">
        <f ca="1">+IF(L380&gt;0,N380*100/L380,0)</f>
        <v>67.20753898806052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IFERROR(__xludf.DUMMYFUNCTION("IMPORTRANGE(""https://docs.google.com/spreadsheets/d/1IYY_tgx_IHuhSq3AJ5eI5OnqOPBNLWSHKh2a30DoXe8/edit?usp=sharing"",""สุราษฎร์ธานี!L277"")"),0)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IFERROR(__xludf.DUMMYFUNCTION("IMPORTRANGE(""https://docs.google.com/spreadsheets/d/1IYY_tgx_IHuhSq3AJ5eI5OnqOPBNLWSHKh2a30DoXe8/edit?usp=sharing"",""สุราษฎร์ธานี!M278"")"),691242.98)</f>
        <v>691242.98</v>
      </c>
      <c r="O383" s="169">
        <f t="shared" ca="1" si="109"/>
        <v>67.20753898806052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IFERROR(__xludf.DUMMYFUNCTION("IMPORTRANGE(""https://docs.google.com/spreadsheets/d/1IYY_tgx_IHuhSq3AJ5eI5OnqOPBNLWSHKh2a30DoXe8/edit?usp=sharing"",""สุราษฎร์ธานี!L279"")"),0)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IFERROR(__xludf.DUMMYFUNCTION("IMPORTRANGE(""https://docs.google.com/spreadsheets/d/1IYY_tgx_IHuhSq3AJ5eI5OnqOPBNLWSHKh2a30DoXe8/edit?usp=sharing"",""สุราษฎร์ธานี!M279"")"),0)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IFERROR(__xludf.DUMMYFUNCTION("IMPORTRANGE(""https://docs.google.com/spreadsheets/d/1IYY_tgx_IHuhSq3AJ5eI5OnqOPBNLWSHKh2a30DoXe8/edit?usp=sharing"",""สุราษฎร์ธานี!M280"")"),691242.98)</f>
        <v>691242.98</v>
      </c>
      <c r="O385" s="175">
        <f t="shared" ca="1" si="109"/>
        <v>67.20753898806052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IFERROR(__xludf.DUMMYFUNCTION("IMPORTRANGE(""https://docs.google.com/spreadsheets/d/1IYY_tgx_IHuhSq3AJ5eI5OnqOPBNLWSHKh2a30DoXe8/edit?usp=sharing"",""สุราษฎร์ธานี!M282"")"),358888.88)</f>
        <v>358888.88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IFERROR(__xludf.DUMMYFUNCTION("IMPORTRANGE(""https://docs.google.com/spreadsheets/d/1IYY_tgx_IHuhSq3AJ5eI5OnqOPBNLWSHKh2a30DoXe8/edit?usp=sharing"",""สุราษฎร์ธานี!M283"")"),107835.5)</f>
        <v>107835.5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IFERROR(__xludf.DUMMYFUNCTION("IMPORTRANGE(""https://docs.google.com/spreadsheets/d/1IYY_tgx_IHuhSq3AJ5eI5OnqOPBNLWSHKh2a30DoXe8/edit?usp=sharing"",""สุราษฎร์ธานี!M284"")"),26519.6)</f>
        <v>26519.599999999999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IFERROR(__xludf.DUMMYFUNCTION("IMPORTRANGE(""https://docs.google.com/spreadsheets/d/1IYY_tgx_IHuhSq3AJ5eI5OnqOPBNLWSHKh2a30DoXe8/edit?usp=sharing"",""สุราษฎร์ธานี!J286"")"),0)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IFERROR(__xludf.DUMMYFUNCTION("IMPORTRANGE(""https://docs.google.com/spreadsheets/d/1IYY_tgx_IHuhSq3AJ5eI5OnqOPBNLWSHKh2a30DoXe8/edit?usp=sharing"",""สุราษฎร์ธานี!J287"")"),1)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IFERROR(__xludf.DUMMYFUNCTION("IMPORTRANGE(""https://docs.google.com/spreadsheets/d/1IYY_tgx_IHuhSq3AJ5eI5OnqOPBNLWSHKh2a30DoXe8/edit?usp=sharing"",""สุราษฎร์ธานี!J288"")"),1)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IFERROR(__xludf.DUMMYFUNCTION("IMPORTRANGE(""https://docs.google.com/spreadsheets/d/1IYY_tgx_IHuhSq3AJ5eI5OnqOPBNLWSHKh2a30DoXe8/edit?usp=sharing"",""สุราษฎร์ธานี!J289"")"),1)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4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4">
        <f ca="1">IFERROR(__xludf.DUMMYFUNCTION("IMPORTRANGE(""https://docs.google.com/spreadsheets/d/1IYY_tgx_IHuhSq3AJ5eI5OnqOPBNLWSHKh2a30DoXe8/edit?usp=sharing"",""สุราษฎร์ธานี!J292"")"),1000)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4">
        <f ca="1">IFERROR(__xludf.DUMMYFUNCTION("IMPORTRANGE(""https://docs.google.com/spreadsheets/d/1IYY_tgx_IHuhSq3AJ5eI5OnqOPBNLWSHKh2a30DoXe8/edit?usp=sharing"",""สุราษฎร์ธานี!J293"")"),100)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IFERROR(__xludf.DUMMYFUNCTION("IMPORTRANGE(""https://docs.google.com/spreadsheets/d/1IYY_tgx_IHuhSq3AJ5eI5OnqOPBNLWSHKh2a30DoXe8/edit?usp=sharing"",""สุราษฎร์ธานี!J294"")"),0)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IFERROR(__xludf.DUMMYFUNCTION("IMPORTRANGE(""https://docs.google.com/spreadsheets/d/1IYY_tgx_IHuhSq3AJ5eI5OnqOPBNLWSHKh2a30DoXe8/edit?usp=sharing"",""สุราษฎร์ธานี!J295"")"),0)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IFERROR(__xludf.DUMMYFUNCTION("IMPORTRANGE(""https://docs.google.com/spreadsheets/d/1IYY_tgx_IHuhSq3AJ5eI5OnqOPBNLWSHKh2a30DoXe8/edit?usp=sharing"",""สุราษฎร์ธานี!M296"")"),71590)</f>
        <v>71590</v>
      </c>
      <c r="O401" s="379">
        <f ca="1">+IF(L401&gt;0,N401*100/L401,0)</f>
        <v>87.711345258515067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IFERROR(__xludf.DUMMYFUNCTION("IMPORTRANGE(""https://docs.google.com/spreadsheets/d/1IYY_tgx_IHuhSq3AJ5eI5OnqOPBNLWSHKh2a30DoXe8/edit?usp=sharing"",""สุราษฎร์ธานี!L298"")"),0)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IFERROR(__xludf.DUMMYFUNCTION("IMPORTRANGE(""https://docs.google.com/spreadsheets/d/1IYY_tgx_IHuhSq3AJ5eI5OnqOPBNLWSHKh2a30DoXe8/edit?usp=sharing"",""สุราษฎร์ธานี!M298"")"),0)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IFERROR(__xludf.DUMMYFUNCTION("IMPORTRANGE(""https://docs.google.com/spreadsheets/d/1IYY_tgx_IHuhSq3AJ5eI5OnqOPBNLWSHKh2a30DoXe8/edit?usp=sharing"",""สุราษฎร์ธานี!M299"")"),71590)</f>
        <v>71590</v>
      </c>
      <c r="O404" s="175">
        <f t="shared" ca="1" si="112"/>
        <v>87.711345258515067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IFERROR(__xludf.DUMMYFUNCTION("IMPORTRANGE(""https://docs.google.com/spreadsheets/d/1IYY_tgx_IHuhSq3AJ5eI5OnqOPBNLWSHKh2a30DoXe8/edit?usp=sharing"",""สุราษฎร์ธานี!L300"")"),0)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IFERROR(__xludf.DUMMYFUNCTION("IMPORTRANGE(""https://docs.google.com/spreadsheets/d/1IYY_tgx_IHuhSq3AJ5eI5OnqOPBNLWSHKh2a30DoXe8/edit?usp=sharing"",""สุราษฎร์ธานี!M300"")"),0)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IFERROR(__xludf.DUMMYFUNCTION("IMPORTRANGE(""https://docs.google.com/spreadsheets/d/1IYY_tgx_IHuhSq3AJ5eI5OnqOPBNLWSHKh2a30DoXe8/edit?usp=sharing"",""สุราษฎร์ธานี!M301"")"),71590)</f>
        <v>71590</v>
      </c>
      <c r="O406" s="175">
        <f t="shared" ca="1" si="112"/>
        <v>87.711345258515067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IFERROR(__xludf.DUMMYFUNCTION("IMPORTRANGE(""https://docs.google.com/spreadsheets/d/1IYY_tgx_IHuhSq3AJ5eI5OnqOPBNLWSHKh2a30DoXe8/edit?usp=sharing"",""สุราษฎร์ธานี!M303"")"),15000)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IFERROR(__xludf.DUMMYFUNCTION("IMPORTRANGE(""https://docs.google.com/spreadsheets/d/1IYY_tgx_IHuhSq3AJ5eI5OnqOPBNLWSHKh2a30DoXe8/edit?usp=sharing"",""สุราษฎร์ธานี!M305"")"),11690)</f>
        <v>11690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IFERROR(__xludf.DUMMYFUNCTION("IMPORTRANGE(""https://docs.google.com/spreadsheets/d/1IYY_tgx_IHuhSq3AJ5eI5OnqOPBNLWSHKh2a30DoXe8/edit?usp=sharing"",""สุราษฎร์ธานี!J307"")"),0)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IFERROR(__xludf.DUMMYFUNCTION("IMPORTRANGE(""https://docs.google.com/spreadsheets/d/1IYY_tgx_IHuhSq3AJ5eI5OnqOPBNLWSHKh2a30DoXe8/edit?usp=sharing"",""สุราษฎร์ธานี!J308"")"),1)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IFERROR(__xludf.DUMMYFUNCTION("IMPORTRANGE(""https://docs.google.com/spreadsheets/d/1IYY_tgx_IHuhSq3AJ5eI5OnqOPBNLWSHKh2a30DoXe8/edit?usp=sharing"",""สุราษฎร์ธานี!J309"")"),1)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IFERROR(__xludf.DUMMYFUNCTION("IMPORTRANGE(""https://docs.google.com/spreadsheets/d/1IYY_tgx_IHuhSq3AJ5eI5OnqOPBNLWSHKh2a30DoXe8/edit?usp=sharing"",""สุราษฎร์ธานี!J310"")"),1)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IFERROR(__xludf.DUMMYFUNCTION("IMPORTRANGE(""https://docs.google.com/spreadsheets/d/1IYY_tgx_IHuhSq3AJ5eI5OnqOPBNLWSHKh2a30DoXe8/edit?usp=sharing"",""สุราษฎร์ธานี!I311"")"),25)</f>
        <v>25</v>
      </c>
      <c r="J416" s="207">
        <f ca="1">IFERROR(__xludf.DUMMYFUNCTION("IMPORTRANGE(""https://docs.google.com/spreadsheets/d/1IYY_tgx_IHuhSq3AJ5eI5OnqOPBNLWSHKh2a30DoXe8/edit?usp=sharing"",""สุราษฎร์ธานี!J311"")"),25)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IFERROR(__xludf.DUMMYFUNCTION("IMPORTRANGE(""https://docs.google.com/spreadsheets/d/1IYY_tgx_IHuhSq3AJ5eI5OnqOPBNLWSHKh2a30DoXe8/edit?usp=sharing"",""สุราษฎร์ธานี!J328"")"),0)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IFERROR(__xludf.DUMMYFUNCTION("IMPORTRANGE(""https://docs.google.com/spreadsheets/d/1IYY_tgx_IHuhSq3AJ5eI5OnqOPBNLWSHKh2a30DoXe8/edit?usp=sharing"",""สุราษฎร์ธานี!J329"")"),0)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IFERROR(__xludf.DUMMYFUNCTION("IMPORTRANGE(""https://docs.google.com/spreadsheets/d/1IYY_tgx_IHuhSq3AJ5eI5OnqOPBNLWSHKh2a30DoXe8/edit?usp=sharing"",""สุราษฎร์ธานี!M330"")"),92400)</f>
        <v>92400</v>
      </c>
      <c r="O435" s="418">
        <f t="shared" ref="O435:O439" ca="1" si="114">+IF(L435&gt;0,N435*100/L435,0)</f>
        <v>92.4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IFERROR(__xludf.DUMMYFUNCTION("IMPORTRANGE(""https://docs.google.com/spreadsheets/d/1IYY_tgx_IHuhSq3AJ5eI5OnqOPBNLWSHKh2a30DoXe8/edit?usp=sharing"",""สุราษฎร์ธานี!L331"")"),0)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IFERROR(__xludf.DUMMYFUNCTION("IMPORTRANGE(""https://docs.google.com/spreadsheets/d/1IYY_tgx_IHuhSq3AJ5eI5OnqOPBNLWSHKh2a30DoXe8/edit?usp=sharing"",""สุราษฎร์ธานี!M331"")"),0)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69"/>
      <c r="N437" s="175">
        <f ca="1">IFERROR(__xludf.DUMMYFUNCTION("IMPORTRANGE(""https://docs.google.com/spreadsheets/d/1IYY_tgx_IHuhSq3AJ5eI5OnqOPBNLWSHKh2a30DoXe8/edit?usp=sharing"",""สุราษฎร์ธานี!M332"")"),92400)</f>
        <v>92400</v>
      </c>
      <c r="O437" s="175">
        <f t="shared" ca="1" si="114"/>
        <v>92.4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IFERROR(__xludf.DUMMYFUNCTION("IMPORTRANGE(""https://docs.google.com/spreadsheets/d/1IYY_tgx_IHuhSq3AJ5eI5OnqOPBNLWSHKh2a30DoXe8/edit?usp=sharing"",""สุราษฎร์ธานี!L333"")"),0)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IFERROR(__xludf.DUMMYFUNCTION("IMPORTRANGE(""https://docs.google.com/spreadsheets/d/1IYY_tgx_IHuhSq3AJ5eI5OnqOPBNLWSHKh2a30DoXe8/edit?usp=sharing"",""สุราษฎร์ธานี!M333"")"),0)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5"/>
      <c r="N439" s="175">
        <f ca="1">IFERROR(__xludf.DUMMYFUNCTION("IMPORTRANGE(""https://docs.google.com/spreadsheets/d/1IYY_tgx_IHuhSq3AJ5eI5OnqOPBNLWSHKh2a30DoXe8/edit?usp=sharing"",""สุราษฎร์ธานี!M334"")"),92400)</f>
        <v>92400</v>
      </c>
      <c r="O439" s="175">
        <f t="shared" ca="1" si="114"/>
        <v>92.4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IFERROR(__xludf.DUMMYFUNCTION("IMPORTRANGE(""https://docs.google.com/spreadsheets/d/1IYY_tgx_IHuhSq3AJ5eI5OnqOPBNLWSHKh2a30DoXe8/edit?usp=sharing"",""สุราษฎร์ธานี!M338"")"),43200)</f>
        <v>43200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IFERROR(__xludf.DUMMYFUNCTION("IMPORTRANGE(""https://docs.google.com/spreadsheets/d/1IYY_tgx_IHuhSq3AJ5eI5OnqOPBNLWSHKh2a30DoXe8/edit?usp=sharing"",""สุราษฎร์ธานี!J340"")"),0)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IFERROR(__xludf.DUMMYFUNCTION("IMPORTRANGE(""https://docs.google.com/spreadsheets/d/1IYY_tgx_IHuhSq3AJ5eI5OnqOPBNLWSHKh2a30DoXe8/edit?usp=sharing"",""สุราษฎร์ธานี!J341"")"),1)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IFERROR(__xludf.DUMMYFUNCTION("IMPORTRANGE(""https://docs.google.com/spreadsheets/d/1IYY_tgx_IHuhSq3AJ5eI5OnqOPBNLWSHKh2a30DoXe8/edit?usp=sharing"",""สุราษฎร์ธานี!J342"")"),1)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IFERROR(__xludf.DUMMYFUNCTION("IMPORTRANGE(""https://docs.google.com/spreadsheets/d/1IYY_tgx_IHuhSq3AJ5eI5OnqOPBNLWSHKh2a30DoXe8/edit?usp=sharing"",""สุราษฎร์ธานี!J343"")"),1)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7">
        <f ca="1">IFERROR(__xludf.DUMMYFUNCTION("IMPORTRANGE(""https://docs.google.com/spreadsheets/d/1IYY_tgx_IHuhSq3AJ5eI5OnqOPBNLWSHKh2a30DoXe8/edit?usp=sharing"",""สุราษฎร์ธานี!J344"")"),20)</f>
        <v>20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5">
        <f ca="1">IFERROR(__xludf.DUMMYFUNCTION("IMPORTRANGE(""https://docs.google.com/spreadsheets/d/1IYY_tgx_IHuhSq3AJ5eI5OnqOPBNLWSHKh2a30DoXe8/edit?usp=sharing"",""สุราษฎร์ธานี!J345"")"),20)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4">
        <f ca="1">IFERROR(__xludf.DUMMYFUNCTION("IMPORTRANGE(""https://docs.google.com/spreadsheets/d/1IYY_tgx_IHuhSq3AJ5eI5OnqOPBNLWSHKh2a30DoXe8/edit?usp=sharing"",""สุราษฎร์ธานี!J346"")"),0)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IFERROR(__xludf.DUMMYFUNCTION("IMPORTRANGE(""https://docs.google.com/spreadsheets/d/1IYY_tgx_IHuhSq3AJ5eI5OnqOPBNLWSHKh2a30DoXe8/edit?usp=sharing"",""สุราษฎร์ธานี!I347"")"),0)</f>
        <v>0</v>
      </c>
      <c r="J452" s="194">
        <f ca="1">IFERROR(__xludf.DUMMYFUNCTION("IMPORTRANGE(""https://docs.google.com/spreadsheets/d/1IYY_tgx_IHuhSq3AJ5eI5OnqOPBNLWSHKh2a30DoXe8/edit?usp=sharing"",""สุราษฎร์ธานี!J347"")"),0)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IFERROR(__xludf.DUMMYFUNCTION("IMPORTRANGE(""https://docs.google.com/spreadsheets/d/1IYY_tgx_IHuhSq3AJ5eI5OnqOPBNLWSHKh2a30DoXe8/edit?usp=sharing"",""สุราษฎร์ธานี!J348"")"),0)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IFERROR(__xludf.DUMMYFUNCTION("IMPORTRANGE(""https://docs.google.com/spreadsheets/d/1IYY_tgx_IHuhSq3AJ5eI5OnqOPBNLWSHKh2a30DoXe8/edit?usp=sharing"",""สุราษฎร์ธานี!J349"")"),1)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IFERROR(__xludf.DUMMYFUNCTION("IMPORTRANGE(""https://docs.google.com/spreadsheets/d/1IYY_tgx_IHuhSq3AJ5eI5OnqOPBNLWSHKh2a30DoXe8/edit?usp=sharing"",""สุราษฎร์ธานี!L350"")"),1026698)</f>
        <v>1026698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IFERROR(__xludf.DUMMYFUNCTION("IMPORTRANGE(""https://docs.google.com/spreadsheets/d/1IYY_tgx_IHuhSq3AJ5eI5OnqOPBNLWSHKh2a30DoXe8/edit?usp=sharing"",""สุราษฎร์ธานี!M350"")"),241890.62)</f>
        <v>241890.62</v>
      </c>
      <c r="O455" s="379">
        <f t="shared" ref="O455:O459" ca="1" si="116">+IF(L455&gt;0,N455*100/L455,0)</f>
        <v>23.560055634665694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IFERROR(__xludf.DUMMYFUNCTION("IMPORTRANGE(""https://docs.google.com/spreadsheets/d/1IYY_tgx_IHuhSq3AJ5eI5OnqOPBNLWSHKh2a30DoXe8/edit?usp=sharing"",""สุราษฎร์ธานี!L351"")"),0)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IFERROR(__xludf.DUMMYFUNCTION("IMPORTRANGE(""https://docs.google.com/spreadsheets/d/1IYY_tgx_IHuhSq3AJ5eI5OnqOPBNLWSHKh2a30DoXe8/edit?usp=sharing"",""สุราษฎร์ธานี!M351"")"),0)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IFERROR(__xludf.DUMMYFUNCTION("IMPORTRANGE(""https://docs.google.com/spreadsheets/d/1IYY_tgx_IHuhSq3AJ5eI5OnqOPBNLWSHKh2a30DoXe8/edit?usp=sharing"",""สุราษฎร์ธานี!L352"")"),1026698)</f>
        <v>1026698</v>
      </c>
      <c r="M457" s="169"/>
      <c r="N457" s="175">
        <f ca="1">IFERROR(__xludf.DUMMYFUNCTION("IMPORTRANGE(""https://docs.google.com/spreadsheets/d/1IYY_tgx_IHuhSq3AJ5eI5OnqOPBNLWSHKh2a30DoXe8/edit?usp=sharing"",""สุราษฎร์ธานี!M352"")"),241890.62)</f>
        <v>241890.62</v>
      </c>
      <c r="O457" s="175">
        <f t="shared" ca="1" si="116"/>
        <v>23.560055634665694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IFERROR(__xludf.DUMMYFUNCTION("IMPORTRANGE(""https://docs.google.com/spreadsheets/d/1IYY_tgx_IHuhSq3AJ5eI5OnqOPBNLWSHKh2a30DoXe8/edit?usp=sharing"",""สุราษฎร์ธานี!L353"")"),0)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IFERROR(__xludf.DUMMYFUNCTION("IMPORTRANGE(""https://docs.google.com/spreadsheets/d/1IYY_tgx_IHuhSq3AJ5eI5OnqOPBNLWSHKh2a30DoXe8/edit?usp=sharing"",""สุราษฎร์ธานี!M353"")"),0)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IFERROR(__xludf.DUMMYFUNCTION("IMPORTRANGE(""https://docs.google.com/spreadsheets/d/1IYY_tgx_IHuhSq3AJ5eI5OnqOPBNLWSHKh2a30DoXe8/edit?usp=sharing"",""สุราษฎร์ธานี!L354"")"),1026698)</f>
        <v>1026698</v>
      </c>
      <c r="M459" s="175"/>
      <c r="N459" s="175">
        <f ca="1">IFERROR(__xludf.DUMMYFUNCTION("IMPORTRANGE(""https://docs.google.com/spreadsheets/d/1IYY_tgx_IHuhSq3AJ5eI5OnqOPBNLWSHKh2a30DoXe8/edit?usp=sharing"",""สุราษฎร์ธานี!M354"")"),241890.62)</f>
        <v>241890.62</v>
      </c>
      <c r="O459" s="175">
        <f t="shared" ca="1" si="116"/>
        <v>23.560055634665694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IFERROR(__xludf.DUMMYFUNCTION("IMPORTRANGE(""https://docs.google.com/spreadsheets/d/1IYY_tgx_IHuhSq3AJ5eI5OnqOPBNLWSHKh2a30DoXe8/edit?usp=sharing"",""สุราษฎร์ธานี!M355"")"),0)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IFERROR(__xludf.DUMMYFUNCTION("IMPORTRANGE(""https://docs.google.com/spreadsheets/d/1IYY_tgx_IHuhSq3AJ5eI5OnqOPBNLWSHKh2a30DoXe8/edit?usp=sharing"",""สุราษฎร์ธานี!M356"")"),0)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IFERROR(__xludf.DUMMYFUNCTION("IMPORTRANGE(""https://docs.google.com/spreadsheets/d/1IYY_tgx_IHuhSq3AJ5eI5OnqOPBNLWSHKh2a30DoXe8/edit?usp=sharing"",""สุราษฎร์ธานี!M357"")"),123541.99)</f>
        <v>123541.99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IFERROR(__xludf.DUMMYFUNCTION("IMPORTRANGE(""https://docs.google.com/spreadsheets/d/1IYY_tgx_IHuhSq3AJ5eI5OnqOPBNLWSHKh2a30DoXe8/edit?usp=sharing"",""สุราษฎร์ธานี!M358"")"),118348.63)</f>
        <v>118348.63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3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IFERROR(__xludf.DUMMYFUNCTION("IMPORTRANGE(""https://docs.google.com/spreadsheets/d/1IYY_tgx_IHuhSq3AJ5eI5OnqOPBNLWSHKh2a30DoXe8/edit?usp=sharing"",""สุราษฎร์ธานี!I362"")"),0)</f>
        <v>0</v>
      </c>
      <c r="J467" s="195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IFERROR(__xludf.DUMMYFUNCTION("IMPORTRANGE(""https://docs.google.com/spreadsheets/d/1IYY_tgx_IHuhSq3AJ5eI5OnqOPBNLWSHKh2a30DoXe8/edit?usp=sharing"",""สุราษฎร์ธานี!I363"")"),0)</f>
        <v>0</v>
      </c>
      <c r="J468" s="195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IFERROR(__xludf.DUMMYFUNCTION("IMPORTRANGE(""https://docs.google.com/spreadsheets/d/1IYY_tgx_IHuhSq3AJ5eI5OnqOPBNLWSHKh2a30DoXe8/edit?usp=sharing"",""สุราษฎร์ธานี!I364"")"),0)</f>
        <v>0</v>
      </c>
      <c r="J469" s="195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IFERROR(__xludf.DUMMYFUNCTION("IMPORTRANGE(""https://docs.google.com/spreadsheets/d/1IYY_tgx_IHuhSq3AJ5eI5OnqOPBNLWSHKh2a30DoXe8/edit?usp=sharing"",""สุราษฎร์ธานี!I365"")"),0)</f>
        <v>0</v>
      </c>
      <c r="J470" s="195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IFERROR(__xludf.DUMMYFUNCTION("IMPORTRANGE(""https://docs.google.com/spreadsheets/d/1IYY_tgx_IHuhSq3AJ5eI5OnqOPBNLWSHKh2a30DoXe8/edit?usp=sharing"",""สุราษฎร์ธานี!I366"")"),0)</f>
        <v>0</v>
      </c>
      <c r="J471" s="195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IFERROR(__xludf.DUMMYFUNCTION("IMPORTRANGE(""https://docs.google.com/spreadsheets/d/1IYY_tgx_IHuhSq3AJ5eI5OnqOPBNLWSHKh2a30DoXe8/edit?usp=sharing"",""สุราษฎร์ธานี!I367"")"),0)</f>
        <v>0</v>
      </c>
      <c r="J472" s="195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IFERROR(__xludf.DUMMYFUNCTION("IMPORTRANGE(""https://docs.google.com/spreadsheets/d/1IYY_tgx_IHuhSq3AJ5eI5OnqOPBNLWSHKh2a30DoXe8/edit?usp=sharing"",""สุราษฎร์ธานี!I370"")"),0)</f>
        <v>0</v>
      </c>
      <c r="J475" s="195">
        <f ca="1">IFERROR(__xludf.DUMMYFUNCTION("IMPORTRANGE(""https://docs.google.com/spreadsheets/d/1IYY_tgx_IHuhSq3AJ5eI5OnqOPBNLWSHKh2a30DoXe8/edit?usp=sharing"",""สุราษฎร์ธานี!J370"")"),147099)</f>
        <v>147099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IFERROR(__xludf.DUMMYFUNCTION("IMPORTRANGE(""https://docs.google.com/spreadsheets/d/1IYY_tgx_IHuhSq3AJ5eI5OnqOPBNLWSHKh2a30DoXe8/edit?usp=sharing"",""สุราษฎร์ธานี!I371"")"),0)</f>
        <v>0</v>
      </c>
      <c r="J476" s="195">
        <f ca="1">IFERROR(__xludf.DUMMYFUNCTION("IMPORTRANGE(""https://docs.google.com/spreadsheets/d/1IYY_tgx_IHuhSq3AJ5eI5OnqOPBNLWSHKh2a30DoXe8/edit?usp=sharing"",""สุราษฎร์ธานี!J371"")"),11433)</f>
        <v>11433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IFERROR(__xludf.DUMMYFUNCTION("IMPORTRANGE(""https://docs.google.com/spreadsheets/d/1IYY_tgx_IHuhSq3AJ5eI5OnqOPBNLWSHKh2a30DoXe8/edit?usp=sharing"",""สุราษฎร์ธานี!I372"")"),0)</f>
        <v>0</v>
      </c>
      <c r="J477" s="195">
        <f ca="1">IFERROR(__xludf.DUMMYFUNCTION("IMPORTRANGE(""https://docs.google.com/spreadsheets/d/1IYY_tgx_IHuhSq3AJ5eI5OnqOPBNLWSHKh2a30DoXe8/edit?usp=sharing"",""สุราษฎร์ธานี!J372"")"),3241)</f>
        <v>3241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IFERROR(__xludf.DUMMYFUNCTION("IMPORTRANGE(""https://docs.google.com/spreadsheets/d/1IYY_tgx_IHuhSq3AJ5eI5OnqOPBNLWSHKh2a30DoXe8/edit?usp=sharing"",""สุราษฎร์ธานี!I373"")"),0)</f>
        <v>0</v>
      </c>
      <c r="J478" s="195">
        <f ca="1">IFERROR(__xludf.DUMMYFUNCTION("IMPORTRANGE(""https://docs.google.com/spreadsheets/d/1IYY_tgx_IHuhSq3AJ5eI5OnqOPBNLWSHKh2a30DoXe8/edit?usp=sharing"",""สุราษฎร์ธานี!J373"")"),311)</f>
        <v>311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IFERROR(__xludf.DUMMYFUNCTION("IMPORTRANGE(""https://docs.google.com/spreadsheets/d/1IYY_tgx_IHuhSq3AJ5eI5OnqOPBNLWSHKh2a30DoXe8/edit?usp=sharing"",""สุราษฎร์ธานี!I374"")"),0)</f>
        <v>0</v>
      </c>
      <c r="J479" s="195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IFERROR(__xludf.DUMMYFUNCTION("IMPORTRANGE(""https://docs.google.com/spreadsheets/d/1IYY_tgx_IHuhSq3AJ5eI5OnqOPBNLWSHKh2a30DoXe8/edit?usp=sharing"",""สุราษฎร์ธานี!I375"")"),0)</f>
        <v>0</v>
      </c>
      <c r="J480" s="195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IFERROR(__xludf.DUMMYFUNCTION("IMPORTRANGE(""https://docs.google.com/spreadsheets/d/1IYY_tgx_IHuhSq3AJ5eI5OnqOPBNLWSHKh2a30DoXe8/edit?usp=sharing"",""สุราษฎร์ธานี!I378"")"),0)</f>
        <v>0</v>
      </c>
      <c r="J483" s="195">
        <f ca="1">IFERROR(__xludf.DUMMYFUNCTION("IMPORTRANGE(""https://docs.google.com/spreadsheets/d/1IYY_tgx_IHuhSq3AJ5eI5OnqOPBNLWSHKh2a30DoXe8/edit?usp=sharing"",""สุราษฎร์ธานี!J378"")"),125062)</f>
        <v>125062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IFERROR(__xludf.DUMMYFUNCTION("IMPORTRANGE(""https://docs.google.com/spreadsheets/d/1IYY_tgx_IHuhSq3AJ5eI5OnqOPBNLWSHKh2a30DoXe8/edit?usp=sharing"",""สุราษฎร์ธานี!I379"")"),0)</f>
        <v>0</v>
      </c>
      <c r="J484" s="195">
        <f ca="1">IFERROR(__xludf.DUMMYFUNCTION("IMPORTRANGE(""https://docs.google.com/spreadsheets/d/1IYY_tgx_IHuhSq3AJ5eI5OnqOPBNLWSHKh2a30DoXe8/edit?usp=sharing"",""สุราษฎร์ธานี!J379"")"),10038)</f>
        <v>10038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IFERROR(__xludf.DUMMYFUNCTION("IMPORTRANGE(""https://docs.google.com/spreadsheets/d/1IYY_tgx_IHuhSq3AJ5eI5OnqOPBNLWSHKh2a30DoXe8/edit?usp=sharing"",""สุราษฎร์ธานี!I380"")"),0)</f>
        <v>0</v>
      </c>
      <c r="J485" s="195">
        <f ca="1">IFERROR(__xludf.DUMMYFUNCTION("IMPORTRANGE(""https://docs.google.com/spreadsheets/d/1IYY_tgx_IHuhSq3AJ5eI5OnqOPBNLWSHKh2a30DoXe8/edit?usp=sharing"",""สุราษฎร์ธานี!J380"")"),25278)</f>
        <v>25278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IFERROR(__xludf.DUMMYFUNCTION("IMPORTRANGE(""https://docs.google.com/spreadsheets/d/1IYY_tgx_IHuhSq3AJ5eI5OnqOPBNLWSHKh2a30DoXe8/edit?usp=sharing"",""สุราษฎร์ธานี!I381"")"),0)</f>
        <v>0</v>
      </c>
      <c r="J486" s="195">
        <f ca="1">IFERROR(__xludf.DUMMYFUNCTION("IMPORTRANGE(""https://docs.google.com/spreadsheets/d/1IYY_tgx_IHuhSq3AJ5eI5OnqOPBNLWSHKh2a30DoXe8/edit?usp=sharing"",""สุราษฎร์ธานี!J381"")"),1706)</f>
        <v>1706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IFERROR(__xludf.DUMMYFUNCTION("IMPORTRANGE(""https://docs.google.com/spreadsheets/d/1IYY_tgx_IHuhSq3AJ5eI5OnqOPBNLWSHKh2a30DoXe8/edit?usp=sharing"",""สุราษฎร์ธานี!J382"")"),1392)</f>
        <v>1392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IFERROR(__xludf.DUMMYFUNCTION("IMPORTRANGE(""https://docs.google.com/spreadsheets/d/1IYY_tgx_IHuhSq3AJ5eI5OnqOPBNLWSHKh2a30DoXe8/edit?usp=sharing"",""สุราษฎร์ธานี!J383"")"),116)</f>
        <v>116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IFERROR(__xludf.DUMMYFUNCTION("IMPORTRANGE(""https://docs.google.com/spreadsheets/d/1IYY_tgx_IHuhSq3AJ5eI5OnqOPBNLWSHKh2a30DoXe8/edit?usp=sharing"",""สุราษฎร์ธานี!I384"")"),0)</f>
        <v>0</v>
      </c>
      <c r="J489" s="195">
        <f ca="1">IFERROR(__xludf.DUMMYFUNCTION("IMPORTRANGE(""https://docs.google.com/spreadsheets/d/1IYY_tgx_IHuhSq3AJ5eI5OnqOPBNLWSHKh2a30DoXe8/edit?usp=sharing"",""สุราษฎร์ธานี!J384"")"),1339)</f>
        <v>1339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IFERROR(__xludf.DUMMYFUNCTION("IMPORTRANGE(""https://docs.google.com/spreadsheets/d/1IYY_tgx_IHuhSq3AJ5eI5OnqOPBNLWSHKh2a30DoXe8/edit?usp=sharing"",""สุราษฎร์ธานี!I385"")"),0)</f>
        <v>0</v>
      </c>
      <c r="J490" s="195">
        <f ca="1">IFERROR(__xludf.DUMMYFUNCTION("IMPORTRANGE(""https://docs.google.com/spreadsheets/d/1IYY_tgx_IHuhSq3AJ5eI5OnqOPBNLWSHKh2a30DoXe8/edit?usp=sharing"",""สุราษฎร์ธานี!J385"")"),111)</f>
        <v>111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IFERROR(__xludf.DUMMYFUNCTION("IMPORTRANGE(""https://docs.google.com/spreadsheets/d/1IYY_tgx_IHuhSq3AJ5eI5OnqOPBNLWSHKh2a30DoXe8/edit?usp=sharing"",""สุราษฎร์ธานี!I386"")"),0)</f>
        <v>0</v>
      </c>
      <c r="J491" s="195">
        <f ca="1">IFERROR(__xludf.DUMMYFUNCTION("IMPORTRANGE(""https://docs.google.com/spreadsheets/d/1IYY_tgx_IHuhSq3AJ5eI5OnqOPBNLWSHKh2a30DoXe8/edit?usp=sharing"",""สุราษฎร์ธานี!J386"")"),53)</f>
        <v>53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IFERROR(__xludf.DUMMYFUNCTION("IMPORTRANGE(""https://docs.google.com/spreadsheets/d/1IYY_tgx_IHuhSq3AJ5eI5OnqOPBNLWSHKh2a30DoXe8/edit?usp=sharing"",""สุราษฎร์ธานี!I387"")"),0)</f>
        <v>0</v>
      </c>
      <c r="J492" s="195">
        <f ca="1">IFERROR(__xludf.DUMMYFUNCTION("IMPORTRANGE(""https://docs.google.com/spreadsheets/d/1IYY_tgx_IHuhSq3AJ5eI5OnqOPBNLWSHKh2a30DoXe8/edit?usp=sharing"",""สุราษฎร์ธานี!J387"")"),5)</f>
        <v>5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IFERROR(__xludf.DUMMYFUNCTION("IMPORTRANGE(""https://docs.google.com/spreadsheets/d/1IYY_tgx_IHuhSq3AJ5eI5OnqOPBNLWSHKh2a30DoXe8/edit?usp=sharing"",""สุราษฎร์ธานี!I388"")"),0)</f>
        <v>0</v>
      </c>
      <c r="J493" s="195">
        <f ca="1">IFERROR(__xludf.DUMMYFUNCTION("IMPORTRANGE(""https://docs.google.com/spreadsheets/d/1IYY_tgx_IHuhSq3AJ5eI5OnqOPBNLWSHKh2a30DoXe8/edit?usp=sharing"",""สุราษฎร์ธานี!J388"")"),0)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IFERROR(__xludf.DUMMYFUNCTION("IMPORTRANGE(""https://docs.google.com/spreadsheets/d/1IYY_tgx_IHuhSq3AJ5eI5OnqOPBNLWSHKh2a30DoXe8/edit?usp=sharing"",""สุราษฎร์ธานี!J392"")"),275)</f>
        <v>275</v>
      </c>
      <c r="K497" s="450">
        <f t="shared" ca="1" si="117"/>
        <v>4.4491182656528068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IFERROR(__xludf.DUMMYFUNCTION("IMPORTRANGE(""https://docs.google.com/spreadsheets/d/1IYY_tgx_IHuhSq3AJ5eI5OnqOPBNLWSHKh2a30DoXe8/edit?usp=sharing"",""สุราษฎร์ธานี!J393"")"),275)</f>
        <v>275</v>
      </c>
      <c r="K498" s="208">
        <f t="shared" ca="1" si="117"/>
        <v>4.4491182656528068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IFERROR(__xludf.DUMMYFUNCTION("IMPORTRANGE(""https://docs.google.com/spreadsheets/d/1IYY_tgx_IHuhSq3AJ5eI5OnqOPBNLWSHKh2a30DoXe8/edit?usp=sharing"",""สุราษฎร์ธานี!J394"")"),18)</f>
        <v>18</v>
      </c>
      <c r="K499" s="208">
        <f t="shared" ca="1" si="117"/>
        <v>3.8626609442060085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IFERROR(__xludf.DUMMYFUNCTION("IMPORTRANGE(""https://docs.google.com/spreadsheets/d/1IYY_tgx_IHuhSq3AJ5eI5OnqOPBNLWSHKh2a30DoXe8/edit?usp=sharing"",""สุราษฎร์ธานี!I395"")"),0)</f>
        <v>0</v>
      </c>
      <c r="J500" s="166">
        <f ca="1">IFERROR(__xludf.DUMMYFUNCTION("IMPORTRANGE(""https://docs.google.com/spreadsheets/d/1IYY_tgx_IHuhSq3AJ5eI5OnqOPBNLWSHKh2a30DoXe8/edit?usp=sharing"",""สุราษฎร์ธานี!J395"")"),275)</f>
        <v>275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IFERROR(__xludf.DUMMYFUNCTION("IMPORTRANGE(""https://docs.google.com/spreadsheets/d/1IYY_tgx_IHuhSq3AJ5eI5OnqOPBNLWSHKh2a30DoXe8/edit?usp=sharing"",""สุราษฎร์ธานี!I396"")"),0)</f>
        <v>0</v>
      </c>
      <c r="J501" s="166">
        <f ca="1">IFERROR(__xludf.DUMMYFUNCTION("IMPORTRANGE(""https://docs.google.com/spreadsheets/d/1IYY_tgx_IHuhSq3AJ5eI5OnqOPBNLWSHKh2a30DoXe8/edit?usp=sharing"",""สุราษฎร์ธานี!J396"")"),18)</f>
        <v>18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IFERROR(__xludf.DUMMYFUNCTION("IMPORTRANGE(""https://docs.google.com/spreadsheets/d/1IYY_tgx_IHuhSq3AJ5eI5OnqOPBNLWSHKh2a30DoXe8/edit?usp=sharing"",""สุราษฎร์ธานี!I397"")"),0)</f>
        <v>0</v>
      </c>
      <c r="J502" s="195">
        <f ca="1">IFERROR(__xludf.DUMMYFUNCTION("IMPORTRANGE(""https://docs.google.com/spreadsheets/d/1IYY_tgx_IHuhSq3AJ5eI5OnqOPBNLWSHKh2a30DoXe8/edit?usp=sharing"",""สุราษฎร์ธานี!J397"")"),275)</f>
        <v>275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IFERROR(__xludf.DUMMYFUNCTION("IMPORTRANGE(""https://docs.google.com/spreadsheets/d/1IYY_tgx_IHuhSq3AJ5eI5OnqOPBNLWSHKh2a30DoXe8/edit?usp=sharing"",""สุราษฎร์ธานี!I398"")"),0)</f>
        <v>0</v>
      </c>
      <c r="J503" s="204">
        <f ca="1">IFERROR(__xludf.DUMMYFUNCTION("IMPORTRANGE(""https://docs.google.com/spreadsheets/d/1IYY_tgx_IHuhSq3AJ5eI5OnqOPBNLWSHKh2a30DoXe8/edit?usp=sharing"",""สุราษฎร์ธานี!J398"")"),18)</f>
        <v>18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IFERROR(__xludf.DUMMYFUNCTION("IMPORTRANGE(""https://docs.google.com/spreadsheets/d/1IYY_tgx_IHuhSq3AJ5eI5OnqOPBNLWSHKh2a30DoXe8/edit?usp=sharing"",""สุราษฎร์ธานี!I399"")"),0)</f>
        <v>0</v>
      </c>
      <c r="J504" s="195">
        <f ca="1">IFERROR(__xludf.DUMMYFUNCTION("IMPORTRANGE(""https://docs.google.com/spreadsheets/d/1IYY_tgx_IHuhSq3AJ5eI5OnqOPBNLWSHKh2a30DoXe8/edit?usp=sharing"",""สุราษฎร์ธานี!J399"")"),0)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IFERROR(__xludf.DUMMYFUNCTION("IMPORTRANGE(""https://docs.google.com/spreadsheets/d/1IYY_tgx_IHuhSq3AJ5eI5OnqOPBNLWSHKh2a30DoXe8/edit?usp=sharing"",""สุราษฎร์ธานี!I400"")"),0)</f>
        <v>0</v>
      </c>
      <c r="J505" s="204">
        <f ca="1">IFERROR(__xludf.DUMMYFUNCTION("IMPORTRANGE(""https://docs.google.com/spreadsheets/d/1IYY_tgx_IHuhSq3AJ5eI5OnqOPBNLWSHKh2a30DoXe8/edit?usp=sharing"",""สุราษฎร์ธานี!J400"")"),0)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IFERROR(__xludf.DUMMYFUNCTION("IMPORTRANGE(""https://docs.google.com/spreadsheets/d/1IYY_tgx_IHuhSq3AJ5eI5OnqOPBNLWSHKh2a30DoXe8/edit?usp=sharing"",""สุราษฎร์ธานี!I401"")"),0)</f>
        <v>0</v>
      </c>
      <c r="J506" s="195">
        <f ca="1">IFERROR(__xludf.DUMMYFUNCTION("IMPORTRANGE(""https://docs.google.com/spreadsheets/d/1IYY_tgx_IHuhSq3AJ5eI5OnqOPBNLWSHKh2a30DoXe8/edit?usp=sharing"",""สุราษฎร์ธานี!J401"")"),0)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IFERROR(__xludf.DUMMYFUNCTION("IMPORTRANGE(""https://docs.google.com/spreadsheets/d/1IYY_tgx_IHuhSq3AJ5eI5OnqOPBNLWSHKh2a30DoXe8/edit?usp=sharing"",""สุราษฎร์ธานี!I402"")"),0)</f>
        <v>0</v>
      </c>
      <c r="J507" s="204">
        <f ca="1">IFERROR(__xludf.DUMMYFUNCTION("IMPORTRANGE(""https://docs.google.com/spreadsheets/d/1IYY_tgx_IHuhSq3AJ5eI5OnqOPBNLWSHKh2a30DoXe8/edit?usp=sharing"",""สุราษฎร์ธานี!J402"")"),0)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IFERROR(__xludf.DUMMYFUNCTION("IMPORTRANGE(""https://docs.google.com/spreadsheets/d/1IYY_tgx_IHuhSq3AJ5eI5OnqOPBNLWSHKh2a30DoXe8/edit?usp=sharing"",""สุราษฎร์ธานี!I403"")"),0)</f>
        <v>0</v>
      </c>
      <c r="J508" s="166">
        <f ca="1">IFERROR(__xludf.DUMMYFUNCTION("IMPORTRANGE(""https://docs.google.com/spreadsheets/d/1IYY_tgx_IHuhSq3AJ5eI5OnqOPBNLWSHKh2a30DoXe8/edit?usp=sharing"",""สุราษฎร์ธานี!J403"")"),0)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IFERROR(__xludf.DUMMYFUNCTION("IMPORTRANGE(""https://docs.google.com/spreadsheets/d/1IYY_tgx_IHuhSq3AJ5eI5OnqOPBNLWSHKh2a30DoXe8/edit?usp=sharing"",""สุราษฎร์ธานี!I404"")"),0)</f>
        <v>0</v>
      </c>
      <c r="J509" s="166">
        <f ca="1">IFERROR(__xludf.DUMMYFUNCTION("IMPORTRANGE(""https://docs.google.com/spreadsheets/d/1IYY_tgx_IHuhSq3AJ5eI5OnqOPBNLWSHKh2a30DoXe8/edit?usp=sharing"",""สุราษฎร์ธานี!J404"")"),0)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IFERROR(__xludf.DUMMYFUNCTION("IMPORTRANGE(""https://docs.google.com/spreadsheets/d/1IYY_tgx_IHuhSq3AJ5eI5OnqOPBNLWSHKh2a30DoXe8/edit?usp=sharing"",""สุราษฎร์ธานี!I405"")"),0)</f>
        <v>0</v>
      </c>
      <c r="J510" s="204">
        <f ca="1">IFERROR(__xludf.DUMMYFUNCTION("IMPORTRANGE(""https://docs.google.com/spreadsheets/d/1IYY_tgx_IHuhSq3AJ5eI5OnqOPBNLWSHKh2a30DoXe8/edit?usp=sharing"",""สุราษฎร์ธานี!J405"")"),0)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IFERROR(__xludf.DUMMYFUNCTION("IMPORTRANGE(""https://docs.google.com/spreadsheets/d/1IYY_tgx_IHuhSq3AJ5eI5OnqOPBNLWSHKh2a30DoXe8/edit?usp=sharing"",""สุราษฎร์ธานี!I406"")"),0)</f>
        <v>0</v>
      </c>
      <c r="J511" s="204">
        <f ca="1">IFERROR(__xludf.DUMMYFUNCTION("IMPORTRANGE(""https://docs.google.com/spreadsheets/d/1IYY_tgx_IHuhSq3AJ5eI5OnqOPBNLWSHKh2a30DoXe8/edit?usp=sharing"",""สุราษฎร์ธานี!J406"")"),0)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IFERROR(__xludf.DUMMYFUNCTION("IMPORTRANGE(""https://docs.google.com/spreadsheets/d/1IYY_tgx_IHuhSq3AJ5eI5OnqOPBNLWSHKh2a30DoXe8/edit?usp=sharing"",""สุราษฎร์ธานี!I407"")"),0)</f>
        <v>0</v>
      </c>
      <c r="J512" s="204">
        <f ca="1">IFERROR(__xludf.DUMMYFUNCTION("IMPORTRANGE(""https://docs.google.com/spreadsheets/d/1IYY_tgx_IHuhSq3AJ5eI5OnqOPBNLWSHKh2a30DoXe8/edit?usp=sharing"",""สุราษฎร์ธานี!J407"")"),0)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IFERROR(__xludf.DUMMYFUNCTION("IMPORTRANGE(""https://docs.google.com/spreadsheets/d/1IYY_tgx_IHuhSq3AJ5eI5OnqOPBNLWSHKh2a30DoXe8/edit?usp=sharing"",""สุราษฎร์ธานี!I408"")"),0)</f>
        <v>0</v>
      </c>
      <c r="J513" s="204">
        <f ca="1">IFERROR(__xludf.DUMMYFUNCTION("IMPORTRANGE(""https://docs.google.com/spreadsheets/d/1IYY_tgx_IHuhSq3AJ5eI5OnqOPBNLWSHKh2a30DoXe8/edit?usp=sharing"",""สุราษฎร์ธานี!J408"")"),0)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IFERROR(__xludf.DUMMYFUNCTION("IMPORTRANGE(""https://docs.google.com/spreadsheets/d/1IYY_tgx_IHuhSq3AJ5eI5OnqOPBNLWSHKh2a30DoXe8/edit?usp=sharing"",""สุราษฎร์ธานี!I409"")"),0)</f>
        <v>0</v>
      </c>
      <c r="J514" s="204">
        <f ca="1">IFERROR(__xludf.DUMMYFUNCTION("IMPORTRANGE(""https://docs.google.com/spreadsheets/d/1IYY_tgx_IHuhSq3AJ5eI5OnqOPBNLWSHKh2a30DoXe8/edit?usp=sharing"",""สุราษฎร์ธานี!J409"")"),0)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IFERROR(__xludf.DUMMYFUNCTION("IMPORTRANGE(""https://docs.google.com/spreadsheets/d/1IYY_tgx_IHuhSq3AJ5eI5OnqOPBNLWSHKh2a30DoXe8/edit?usp=sharing"",""สุราษฎร์ธานี!I410"")"),0)</f>
        <v>0</v>
      </c>
      <c r="J515" s="204">
        <f ca="1">IFERROR(__xludf.DUMMYFUNCTION("IMPORTRANGE(""https://docs.google.com/spreadsheets/d/1IYY_tgx_IHuhSq3AJ5eI5OnqOPBNLWSHKh2a30DoXe8/edit?usp=sharing"",""สุราษฎร์ธานี!J410"")"),0)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IFERROR(__xludf.DUMMYFUNCTION("IMPORTRANGE(""https://docs.google.com/spreadsheets/d/1IYY_tgx_IHuhSq3AJ5eI5OnqOPBNLWSHKh2a30DoXe8/edit?usp=sharing"",""สุราษฎร์ธานี!I411"")"),0)</f>
        <v>0</v>
      </c>
      <c r="J516" s="273">
        <f ca="1">IFERROR(__xludf.DUMMYFUNCTION("IMPORTRANGE(""https://docs.google.com/spreadsheets/d/1IYY_tgx_IHuhSq3AJ5eI5OnqOPBNLWSHKh2a30DoXe8/edit?usp=sharing"",""สุราษฎร์ธานี!J411"")"),0)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IFERROR(__xludf.DUMMYFUNCTION("IMPORTRANGE(""https://docs.google.com/spreadsheets/d/1IYY_tgx_IHuhSq3AJ5eI5OnqOPBNLWSHKh2a30DoXe8/edit?usp=sharing"",""สุราษฎร์ธานี!I414"")"),0)</f>
        <v>0</v>
      </c>
      <c r="J519" s="194">
        <f ca="1">IFERROR(__xludf.DUMMYFUNCTION("IMPORTRANGE(""https://docs.google.com/spreadsheets/d/1IYY_tgx_IHuhSq3AJ5eI5OnqOPBNLWSHKh2a30DoXe8/edit?usp=sharing"",""สุราษฎร์ธานี!J414"")"),0)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IFERROR(__xludf.DUMMYFUNCTION("IMPORTRANGE(""https://docs.google.com/spreadsheets/d/1IYY_tgx_IHuhSq3AJ5eI5OnqOPBNLWSHKh2a30DoXe8/edit?usp=sharing"",""สุราษฎร์ธานี!I415"")"),0)</f>
        <v>0</v>
      </c>
      <c r="J520" s="194">
        <f ca="1">IFERROR(__xludf.DUMMYFUNCTION("IMPORTRANGE(""https://docs.google.com/spreadsheets/d/1IYY_tgx_IHuhSq3AJ5eI5OnqOPBNLWSHKh2a30DoXe8/edit?usp=sharing"",""สุราษฎร์ธานี!J415"")"),0)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IFERROR(__xludf.DUMMYFUNCTION("IMPORTRANGE(""https://docs.google.com/spreadsheets/d/1IYY_tgx_IHuhSq3AJ5eI5OnqOPBNLWSHKh2a30DoXe8/edit?usp=sharing"",""สุราษฎร์ธานี!I416"")"),0)</f>
        <v>0</v>
      </c>
      <c r="J521" s="194">
        <f ca="1">IFERROR(__xludf.DUMMYFUNCTION("IMPORTRANGE(""https://docs.google.com/spreadsheets/d/1IYY_tgx_IHuhSq3AJ5eI5OnqOPBNLWSHKh2a30DoXe8/edit?usp=sharing"",""สุราษฎร์ธานี!J416"")"),0)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IFERROR(__xludf.DUMMYFUNCTION("IMPORTRANGE(""https://docs.google.com/spreadsheets/d/1IYY_tgx_IHuhSq3AJ5eI5OnqOPBNLWSHKh2a30DoXe8/edit?usp=sharing"",""สุราษฎร์ธานี!I417"")"),0)</f>
        <v>0</v>
      </c>
      <c r="J522" s="194">
        <f ca="1">IFERROR(__xludf.DUMMYFUNCTION("IMPORTRANGE(""https://docs.google.com/spreadsheets/d/1IYY_tgx_IHuhSq3AJ5eI5OnqOPBNLWSHKh2a30DoXe8/edit?usp=sharing"",""สุราษฎร์ธานี!J417"")"),0)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IFERROR(__xludf.DUMMYFUNCTION("IMPORTRANGE(""https://docs.google.com/spreadsheets/d/1IYY_tgx_IHuhSq3AJ5eI5OnqOPBNLWSHKh2a30DoXe8/edit?usp=sharing"",""สุราษฎร์ธานี!I418"")"),0)</f>
        <v>0</v>
      </c>
      <c r="J523" s="194">
        <f ca="1">IFERROR(__xludf.DUMMYFUNCTION("IMPORTRANGE(""https://docs.google.com/spreadsheets/d/1IYY_tgx_IHuhSq3AJ5eI5OnqOPBNLWSHKh2a30DoXe8/edit?usp=sharing"",""สุราษฎร์ธานี!J418"")"),3)</f>
        <v>3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IFERROR(__xludf.DUMMYFUNCTION("IMPORTRANGE(""https://docs.google.com/spreadsheets/d/1IYY_tgx_IHuhSq3AJ5eI5OnqOPBNLWSHKh2a30DoXe8/edit?usp=sharing"",""สุราษฎร์ธานี!I419"")"),0)</f>
        <v>0</v>
      </c>
      <c r="J524" s="194">
        <f ca="1">IFERROR(__xludf.DUMMYFUNCTION("IMPORTRANGE(""https://docs.google.com/spreadsheets/d/1IYY_tgx_IHuhSq3AJ5eI5OnqOPBNLWSHKh2a30DoXe8/edit?usp=sharing"",""สุราษฎร์ธานี!J419"")"),2)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IFERROR(__xludf.DUMMYFUNCTION("IMPORTRANGE(""https://docs.google.com/spreadsheets/d/1IYY_tgx_IHuhSq3AJ5eI5OnqOPBNLWSHKh2a30DoXe8/edit?usp=sharing"",""สุราษฎร์ธานี!I422"")"),0)</f>
        <v>0</v>
      </c>
      <c r="J527" s="204">
        <f ca="1">IFERROR(__xludf.DUMMYFUNCTION("IMPORTRANGE(""https://docs.google.com/spreadsheets/d/1IYY_tgx_IHuhSq3AJ5eI5OnqOPBNLWSHKh2a30DoXe8/edit?usp=sharing"",""สุราษฎร์ธานี!J422"")"),0)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IFERROR(__xludf.DUMMYFUNCTION("IMPORTRANGE(""https://docs.google.com/spreadsheets/d/1IYY_tgx_IHuhSq3AJ5eI5OnqOPBNLWSHKh2a30DoXe8/edit?usp=sharing"",""สุราษฎร์ธานี!I423"")"),0)</f>
        <v>0</v>
      </c>
      <c r="J528" s="204">
        <f ca="1">IFERROR(__xludf.DUMMYFUNCTION("IMPORTRANGE(""https://docs.google.com/spreadsheets/d/1IYY_tgx_IHuhSq3AJ5eI5OnqOPBNLWSHKh2a30DoXe8/edit?usp=sharing"",""สุราษฎร์ธานี!J423"")"),0)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IFERROR(__xludf.DUMMYFUNCTION("IMPORTRANGE(""https://docs.google.com/spreadsheets/d/1IYY_tgx_IHuhSq3AJ5eI5OnqOPBNLWSHKh2a30DoXe8/edit?usp=sharing"",""สุราษฎร์ธานี!I424"")"),0)</f>
        <v>0</v>
      </c>
      <c r="J529" s="204">
        <f ca="1">IFERROR(__xludf.DUMMYFUNCTION("IMPORTRANGE(""https://docs.google.com/spreadsheets/d/1IYY_tgx_IHuhSq3AJ5eI5OnqOPBNLWSHKh2a30DoXe8/edit?usp=sharing"",""สุราษฎร์ธานี!J424"")"),0)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IFERROR(__xludf.DUMMYFUNCTION("IMPORTRANGE(""https://docs.google.com/spreadsheets/d/1IYY_tgx_IHuhSq3AJ5eI5OnqOPBNLWSHKh2a30DoXe8/edit?usp=sharing"",""สุราษฎร์ธานี!I425"")"),0)</f>
        <v>0</v>
      </c>
      <c r="J530" s="204">
        <f ca="1">IFERROR(__xludf.DUMMYFUNCTION("IMPORTRANGE(""https://docs.google.com/spreadsheets/d/1IYY_tgx_IHuhSq3AJ5eI5OnqOPBNLWSHKh2a30DoXe8/edit?usp=sharing"",""สุราษฎร์ธานี!J425"")"),0)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IFERROR(__xludf.DUMMYFUNCTION("IMPORTRANGE(""https://docs.google.com/spreadsheets/d/1IYY_tgx_IHuhSq3AJ5eI5OnqOPBNLWSHKh2a30DoXe8/edit?usp=sharing"",""สุราษฎร์ธานี!I426"")"),0)</f>
        <v>0</v>
      </c>
      <c r="J531" s="204">
        <f ca="1">IFERROR(__xludf.DUMMYFUNCTION("IMPORTRANGE(""https://docs.google.com/spreadsheets/d/1IYY_tgx_IHuhSq3AJ5eI5OnqOPBNLWSHKh2a30DoXe8/edit?usp=sharing"",""สุราษฎร์ธานี!J426"")"),0)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IFERROR(__xludf.DUMMYFUNCTION("IMPORTRANGE(""https://docs.google.com/spreadsheets/d/1IYY_tgx_IHuhSq3AJ5eI5OnqOPBNLWSHKh2a30DoXe8/edit?usp=sharing"",""สุราษฎร์ธานี!M428"")"),29146)</f>
        <v>29146</v>
      </c>
      <c r="O533" s="418">
        <f t="shared" ref="O533:O537" ca="1" si="118">+IF(L533&gt;0,N533*100/L533,0)</f>
        <v>80.871254162042177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IFERROR(__xludf.DUMMYFUNCTION("IMPORTRANGE(""https://docs.google.com/spreadsheets/d/1IYY_tgx_IHuhSq3AJ5eI5OnqOPBNLWSHKh2a30DoXe8/edit?usp=sharing"",""สุราษฎร์ธานี!L429"")"),0)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IFERROR(__xludf.DUMMYFUNCTION("IMPORTRANGE(""https://docs.google.com/spreadsheets/d/1IYY_tgx_IHuhSq3AJ5eI5OnqOPBNLWSHKh2a30DoXe8/edit?usp=sharing"",""สุราษฎร์ธานี!M429"")"),0)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69"/>
      <c r="N535" s="175">
        <f ca="1">IFERROR(__xludf.DUMMYFUNCTION("IMPORTRANGE(""https://docs.google.com/spreadsheets/d/1IYY_tgx_IHuhSq3AJ5eI5OnqOPBNLWSHKh2a30DoXe8/edit?usp=sharing"",""สุราษฎร์ธานี!M430"")"),29146)</f>
        <v>29146</v>
      </c>
      <c r="O535" s="175">
        <f t="shared" ca="1" si="118"/>
        <v>80.871254162042177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IFERROR(__xludf.DUMMYFUNCTION("IMPORTRANGE(""https://docs.google.com/spreadsheets/d/1IYY_tgx_IHuhSq3AJ5eI5OnqOPBNLWSHKh2a30DoXe8/edit?usp=sharing"",""สุราษฎร์ธานี!L431"")"),0)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IFERROR(__xludf.DUMMYFUNCTION("IMPORTRANGE(""https://docs.google.com/spreadsheets/d/1IYY_tgx_IHuhSq3AJ5eI5OnqOPBNLWSHKh2a30DoXe8/edit?usp=sharing"",""สุราษฎร์ธานี!M431"")"),0)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5"/>
      <c r="N537" s="175">
        <f ca="1">IFERROR(__xludf.DUMMYFUNCTION("IMPORTRANGE(""https://docs.google.com/spreadsheets/d/1IYY_tgx_IHuhSq3AJ5eI5OnqOPBNLWSHKh2a30DoXe8/edit?usp=sharing"",""สุราษฎร์ธานี!M432"")"),29146)</f>
        <v>29146</v>
      </c>
      <c r="O537" s="175">
        <f t="shared" ca="1" si="118"/>
        <v>80.871254162042177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IFERROR(__xludf.DUMMYFUNCTION("IMPORTRANGE(""https://docs.google.com/spreadsheets/d/1IYY_tgx_IHuhSq3AJ5eI5OnqOPBNLWSHKh2a30DoXe8/edit?usp=sharing"",""สุราษฎร์ธานี!M436"")"),11967)</f>
        <v>11967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IFERROR(__xludf.DUMMYFUNCTION("IMPORTRANGE(""https://docs.google.com/spreadsheets/d/1IYY_tgx_IHuhSq3AJ5eI5OnqOPBNLWSHKh2a30DoXe8/edit?usp=sharing"",""สุราษฎร์ธานี!J438"")"),0)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IFERROR(__xludf.DUMMYFUNCTION("IMPORTRANGE(""https://docs.google.com/spreadsheets/d/1IYY_tgx_IHuhSq3AJ5eI5OnqOPBNLWSHKh2a30DoXe8/edit?usp=sharing"",""สุราษฎร์ธานี!J439"")"),1)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IFERROR(__xludf.DUMMYFUNCTION("IMPORTRANGE(""https://docs.google.com/spreadsheets/d/1IYY_tgx_IHuhSq3AJ5eI5OnqOPBNLWSHKh2a30DoXe8/edit?usp=sharing"",""สุราษฎร์ธานี!J440"")"),1)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IFERROR(__xludf.DUMMYFUNCTION("IMPORTRANGE(""https://docs.google.com/spreadsheets/d/1IYY_tgx_IHuhSq3AJ5eI5OnqOPBNLWSHKh2a30DoXe8/edit?usp=sharing"",""สุราษฎร์ธานี!J441"")"),1)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IFERROR(__xludf.DUMMYFUNCTION("IMPORTRANGE(""https://docs.google.com/spreadsheets/d/1IYY_tgx_IHuhSq3AJ5eI5OnqOPBNLWSHKh2a30DoXe8/edit?usp=sharing"",""สุราษฎร์ธานี!I442"")"),24)</f>
        <v>24</v>
      </c>
      <c r="J547" s="195">
        <f ca="1">IFERROR(__xludf.DUMMYFUNCTION("IMPORTRANGE(""https://docs.google.com/spreadsheets/d/1IYY_tgx_IHuhSq3AJ5eI5OnqOPBNLWSHKh2a30DoXe8/edit?usp=sharing"",""สุราษฎร์ธานี!J442"")"),24)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IFERROR(__xludf.DUMMYFUNCTION("IMPORTRANGE(""https://docs.google.com/spreadsheets/d/1IYY_tgx_IHuhSq3AJ5eI5OnqOPBNLWSHKh2a30DoXe8/edit?usp=sharing"",""สุราษฎร์ธานี!J166"")"),0)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IFERROR(__xludf.DUMMYFUNCTION("IMPORTRANGE(""https://docs.google.com/spreadsheets/d/1IYY_tgx_IHuhSq3AJ5eI5OnqOPBNLWSHKh2a30DoXe8/edit?usp=sharing"",""สุราษฎร์ธานี!J444"")"),0)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IFERROR(__xludf.DUMMYFUNCTION("IMPORTRANGE(""https://docs.google.com/spreadsheets/d/1IYY_tgx_IHuhSq3AJ5eI5OnqOPBNLWSHKh2a30DoXe8/edit?usp=sharing"",""สุราษฎร์ธานี!L447"")"),0)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IFERROR(__xludf.DUMMYFUNCTION("IMPORTRANGE(""https://docs.google.com/spreadsheets/d/1IYY_tgx_IHuhSq3AJ5eI5OnqOPBNLWSHKh2a30DoXe8/edit?usp=sharing"",""สุราษฎร์ธานี!M447"")"),0)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IFERROR(__xludf.DUMMYFUNCTION("IMPORTRANGE(""https://docs.google.com/spreadsheets/d/1IYY_tgx_IHuhSq3AJ5eI5OnqOPBNLWSHKh2a30DoXe8/edit?usp=sharing"",""สุราษฎร์ธานี!M448"")"),0)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IFERROR(__xludf.DUMMYFUNCTION("IMPORTRANGE(""https://docs.google.com/spreadsheets/d/1IYY_tgx_IHuhSq3AJ5eI5OnqOPBNLWSHKh2a30DoXe8/edit?usp=sharing"",""สุราษฎร์ธานี!L449"")"),0)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IFERROR(__xludf.DUMMYFUNCTION("IMPORTRANGE(""https://docs.google.com/spreadsheets/d/1IYY_tgx_IHuhSq3AJ5eI5OnqOPBNLWSHKh2a30DoXe8/edit?usp=sharing"",""สุราษฎร์ธานี!M449"")"),0)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IFERROR(__xludf.DUMMYFUNCTION("IMPORTRANGE(""https://docs.google.com/spreadsheets/d/1IYY_tgx_IHuhSq3AJ5eI5OnqOPBNLWSHKh2a30DoXe8/edit?usp=sharing"",""สุราษฎร์ธานี!L450"")"),0)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IFERROR(__xludf.DUMMYFUNCTION("IMPORTRANGE(""https://docs.google.com/spreadsheets/d/1IYY_tgx_IHuhSq3AJ5eI5OnqOPBNLWSHKh2a30DoXe8/edit?usp=sharing"",""สุราษฎร์ธานี!M450"")"),0)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IFERROR(__xludf.DUMMYFUNCTION("IMPORTRANGE(""https://docs.google.com/spreadsheets/d/1IYY_tgx_IHuhSq3AJ5eI5OnqOPBNLWSHKh2a30DoXe8/edit?usp=sharing"",""สุราษฎร์ธานี!M451"")"),0)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IFERROR(__xludf.DUMMYFUNCTION("IMPORTRANGE(""https://docs.google.com/spreadsheets/d/1IYY_tgx_IHuhSq3AJ5eI5OnqOPBNLWSHKh2a30DoXe8/edit?usp=sharing"",""สุราษฎร์ธานี!M452"")"),0)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IFERROR(__xludf.DUMMYFUNCTION("IMPORTRANGE(""https://docs.google.com/spreadsheets/d/1IYY_tgx_IHuhSq3AJ5eI5OnqOPBNLWSHKh2a30DoXe8/edit?usp=sharing"",""สุราษฎร์ธานี!M453"")"),0)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IFERROR(__xludf.DUMMYFUNCTION("IMPORTRANGE(""https://docs.google.com/spreadsheets/d/1IYY_tgx_IHuhSq3AJ5eI5OnqOPBNLWSHKh2a30DoXe8/edit?usp=sharing"",""สุราษฎร์ธานี!M454"")"),0)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IFERROR(__xludf.DUMMYFUNCTION("IMPORTRANGE(""https://docs.google.com/spreadsheets/d/1IYY_tgx_IHuhSq3AJ5eI5OnqOPBNLWSHKh2a30DoXe8/edit?usp=sharing"",""สุราษฎร์ธานี!I455"")"),0)</f>
        <v>0</v>
      </c>
      <c r="J560" s="166">
        <f ca="1">IFERROR(__xludf.DUMMYFUNCTION("IMPORTRANGE(""https://docs.google.com/spreadsheets/d/1IYY_tgx_IHuhSq3AJ5eI5OnqOPBNLWSHKh2a30DoXe8/edit?usp=sharing"",""สุราษฎร์ธานี!J455"")"),0)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IFERROR(__xludf.DUMMYFUNCTION("IMPORTRANGE(""https://docs.google.com/spreadsheets/d/1IYY_tgx_IHuhSq3AJ5eI5OnqOPBNLWSHKh2a30DoXe8/edit?usp=sharing"",""สุราษฎร์ธานี!I456"")"),0)</f>
        <v>0</v>
      </c>
      <c r="J561" s="210">
        <f ca="1">IFERROR(__xludf.DUMMYFUNCTION("IMPORTRANGE(""https://docs.google.com/spreadsheets/d/1IYY_tgx_IHuhSq3AJ5eI5OnqOPBNLWSHKh2a30DoXe8/edit?usp=sharing"",""สุราษฎร์ธานี!J456"")"),0)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IFERROR(__xludf.DUMMYFUNCTION("IMPORTRANGE(""https://docs.google.com/spreadsheets/d/1IYY_tgx_IHuhSq3AJ5eI5OnqOPBNLWSHKh2a30DoXe8/edit?usp=sharing"",""สุราษฎร์ธานี!J459"")"),8957)</f>
        <v>8957</v>
      </c>
      <c r="K564" s="378">
        <f ca="1">IF(I564&gt;0,J564*100/I564,0)</f>
        <v>288.93548387096774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IFERROR(__xludf.DUMMYFUNCTION("IMPORTRANGE(""https://docs.google.com/spreadsheets/d/1IYY_tgx_IHuhSq3AJ5eI5OnqOPBNLWSHKh2a30DoXe8/edit?usp=sharing"",""สุราษฎร์ธานี!M459"")"),90369.98)</f>
        <v>90369.98</v>
      </c>
      <c r="O564" s="379">
        <f t="shared" ref="O564:O568" ca="1" si="122">+IF(L564&gt;0,N564*100/L564,0)</f>
        <v>54.049031100478466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IFERROR(__xludf.DUMMYFUNCTION("IMPORTRANGE(""https://docs.google.com/spreadsheets/d/1IYY_tgx_IHuhSq3AJ5eI5OnqOPBNLWSHKh2a30DoXe8/edit?usp=sharing"",""สุราษฎร์ธานี!L460"")"),0)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IFERROR(__xludf.DUMMYFUNCTION("IMPORTRANGE(""https://docs.google.com/spreadsheets/d/1IYY_tgx_IHuhSq3AJ5eI5OnqOPBNLWSHKh2a30DoXe8/edit?usp=sharing"",""สุราษฎร์ธานี!M460"")"),0)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5">
        <f ca="1">IFERROR(__xludf.DUMMYFUNCTION("IMPORTRANGE(""https://docs.google.com/spreadsheets/d/1IYY_tgx_IHuhSq3AJ5eI5OnqOPBNLWSHKh2a30DoXe8/edit?usp=sharing"",""สุราษฎร์ธานี!M461"")"),90369.98)</f>
        <v>90369.98</v>
      </c>
      <c r="O566" s="175">
        <f t="shared" ca="1" si="122"/>
        <v>54.049031100478466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IFERROR(__xludf.DUMMYFUNCTION("IMPORTRANGE(""https://docs.google.com/spreadsheets/d/1IYY_tgx_IHuhSq3AJ5eI5OnqOPBNLWSHKh2a30DoXe8/edit?usp=sharing"",""สุราษฎร์ธานี!L462"")"),0)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IFERROR(__xludf.DUMMYFUNCTION("IMPORTRANGE(""https://docs.google.com/spreadsheets/d/1IYY_tgx_IHuhSq3AJ5eI5OnqOPBNLWSHKh2a30DoXe8/edit?usp=sharing"",""สุราษฎร์ธานี!M462"")"),0)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5"/>
      <c r="N568" s="175">
        <f ca="1">IFERROR(__xludf.DUMMYFUNCTION("IMPORTRANGE(""https://docs.google.com/spreadsheets/d/1IYY_tgx_IHuhSq3AJ5eI5OnqOPBNLWSHKh2a30DoXe8/edit?usp=sharing"",""สุราษฎร์ธานี!M463"")"),90369.98)</f>
        <v>90369.98</v>
      </c>
      <c r="O568" s="175">
        <f t="shared" ca="1" si="122"/>
        <v>54.049031100478466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IFERROR(__xludf.DUMMYFUNCTION("IMPORTRANGE(""https://docs.google.com/spreadsheets/d/1IYY_tgx_IHuhSq3AJ5eI5OnqOPBNLWSHKh2a30DoXe8/edit?usp=sharing"",""สุราษฎร์ธานี!M464"")"),0)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IFERROR(__xludf.DUMMYFUNCTION("IMPORTRANGE(""https://docs.google.com/spreadsheets/d/1IYY_tgx_IHuhSq3AJ5eI5OnqOPBNLWSHKh2a30DoXe8/edit?usp=sharing"",""สุราษฎร์ธานี!M465"")"),0)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IFERROR(__xludf.DUMMYFUNCTION("IMPORTRANGE(""https://docs.google.com/spreadsheets/d/1IYY_tgx_IHuhSq3AJ5eI5OnqOPBNLWSHKh2a30DoXe8/edit?usp=sharing"",""สุราษฎร์ธานี!M466"")"),85799.98)</f>
        <v>85799.98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IFERROR(__xludf.DUMMYFUNCTION("IMPORTRANGE(""https://docs.google.com/spreadsheets/d/1IYY_tgx_IHuhSq3AJ5eI5OnqOPBNLWSHKh2a30DoXe8/edit?usp=sharing"",""สุราษฎร์ธานี!M467"")"),4570)</f>
        <v>4570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IFERROR(__xludf.DUMMYFUNCTION("IMPORTRANGE(""https://docs.google.com/spreadsheets/d/1IYY_tgx_IHuhSq3AJ5eI5OnqOPBNLWSHKh2a30DoXe8/edit?usp=sharing"",""สุราษฎร์ธานี!J468"")"),8957)</f>
        <v>8957</v>
      </c>
      <c r="K573" s="208">
        <f ca="1">IF(I573&gt;0,J573*100/I573,0)</f>
        <v>288.93548387096774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IFERROR(__xludf.DUMMYFUNCTION("IMPORTRANGE(""https://docs.google.com/spreadsheets/d/1IYY_tgx_IHuhSq3AJ5eI5OnqOPBNLWSHKh2a30DoXe8/edit?usp=sharing"",""สุราษฎร์ธานี!I470"")"),0)</f>
        <v>0</v>
      </c>
      <c r="J575" s="204">
        <f ca="1">IFERROR(__xludf.DUMMYFUNCTION("IMPORTRANGE(""https://docs.google.com/spreadsheets/d/1IYY_tgx_IHuhSq3AJ5eI5OnqOPBNLWSHKh2a30DoXe8/edit?usp=sharing"",""สุราษฎร์ธานี!J470"")"),4)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IFERROR(__xludf.DUMMYFUNCTION("IMPORTRANGE(""https://docs.google.com/spreadsheets/d/1IYY_tgx_IHuhSq3AJ5eI5OnqOPBNLWSHKh2a30DoXe8/edit?usp=sharing"",""สุราษฎร์ธานี!I471"")"),0)</f>
        <v>0</v>
      </c>
      <c r="J576" s="204">
        <f ca="1">IFERROR(__xludf.DUMMYFUNCTION("IMPORTRANGE(""https://docs.google.com/spreadsheets/d/1IYY_tgx_IHuhSq3AJ5eI5OnqOPBNLWSHKh2a30DoXe8/edit?usp=sharing"",""สุราษฎร์ธานี!J471"")"),98)</f>
        <v>98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IFERROR(__xludf.DUMMYFUNCTION("IMPORTRANGE(""https://docs.google.com/spreadsheets/d/1IYY_tgx_IHuhSq3AJ5eI5OnqOPBNLWSHKh2a30DoXe8/edit?usp=sharing"",""สุราษฎร์ธานี!I472"")"),0)</f>
        <v>0</v>
      </c>
      <c r="J577" s="195">
        <f ca="1">IFERROR(__xludf.DUMMYFUNCTION("IMPORTRANGE(""https://docs.google.com/spreadsheets/d/1IYY_tgx_IHuhSq3AJ5eI5OnqOPBNLWSHKh2a30DoXe8/edit?usp=sharing"",""สุราษฎร์ธานี!J472"")"),8856)</f>
        <v>8856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IFERROR(__xludf.DUMMYFUNCTION("IMPORTRANGE(""https://docs.google.com/spreadsheets/d/1IYY_tgx_IHuhSq3AJ5eI5OnqOPBNLWSHKh2a30DoXe8/edit?usp=sharing"",""สุราษฎร์ธานี!I473"")"),0)</f>
        <v>0</v>
      </c>
      <c r="J578" s="204">
        <f ca="1">IFERROR(__xludf.DUMMYFUNCTION("IMPORTRANGE(""https://docs.google.com/spreadsheets/d/1IYY_tgx_IHuhSq3AJ5eI5OnqOPBNLWSHKh2a30DoXe8/edit?usp=sharing"",""สุราษฎร์ธานี!J473"")"),0)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IFERROR(__xludf.DUMMYFUNCTION("IMPORTRANGE(""https://docs.google.com/spreadsheets/d/1IYY_tgx_IHuhSq3AJ5eI5OnqOPBNLWSHKh2a30DoXe8/edit?usp=sharing"",""สุราษฎร์ธานี!I474"")"),0)</f>
        <v>0</v>
      </c>
      <c r="J579" s="204">
        <f ca="1">IFERROR(__xludf.DUMMYFUNCTION("IMPORTRANGE(""https://docs.google.com/spreadsheets/d/1IYY_tgx_IHuhSq3AJ5eI5OnqOPBNLWSHKh2a30DoXe8/edit?usp=sharing"",""สุราษฎร์ธานี!J474"")"),3)</f>
        <v>3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IFERROR(__xludf.DUMMYFUNCTION("IMPORTRANGE(""https://docs.google.com/spreadsheets/d/1IYY_tgx_IHuhSq3AJ5eI5OnqOPBNLWSHKh2a30DoXe8/edit?usp=sharing"",""สุราษฎร์ธานี!L476"")"),0)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IFERROR(__xludf.DUMMYFUNCTION("IMPORTRANGE(""https://docs.google.com/spreadsheets/d/1IYY_tgx_IHuhSq3AJ5eI5OnqOPBNLWSHKh2a30DoXe8/edit?usp=sharing"",""สุราษฎร์ธานี!M476"")"),0)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IFERROR(__xludf.DUMMYFUNCTION("IMPORTRANGE(""https://docs.google.com/spreadsheets/d/1IYY_tgx_IHuhSq3AJ5eI5OnqOPBNLWSHKh2a30DoXe8/edit?usp=sharing"",""สุราษฎร์ธานี!M477"")"),0)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IFERROR(__xludf.DUMMYFUNCTION("IMPORTRANGE(""https://docs.google.com/spreadsheets/d/1IYY_tgx_IHuhSq3AJ5eI5OnqOPBNLWSHKh2a30DoXe8/edit?usp=sharing"",""สุราษฎร์ธานี!L478"")"),0)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IFERROR(__xludf.DUMMYFUNCTION("IMPORTRANGE(""https://docs.google.com/spreadsheets/d/1IYY_tgx_IHuhSq3AJ5eI5OnqOPBNLWSHKh2a30DoXe8/edit?usp=sharing"",""สุราษฎร์ธานี!M478"")"),0)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IFERROR(__xludf.DUMMYFUNCTION("IMPORTRANGE(""https://docs.google.com/spreadsheets/d/1IYY_tgx_IHuhSq3AJ5eI5OnqOPBNLWSHKh2a30DoXe8/edit?usp=sharing"",""สุราษฎร์ธานี!L479"")"),0)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IFERROR(__xludf.DUMMYFUNCTION("IMPORTRANGE(""https://docs.google.com/spreadsheets/d/1IYY_tgx_IHuhSq3AJ5eI5OnqOPBNLWSHKh2a30DoXe8/edit?usp=sharing"",""สุราษฎร์ธานี!M479"")"),0)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IFERROR(__xludf.DUMMYFUNCTION("IMPORTRANGE(""https://docs.google.com/spreadsheets/d/1IYY_tgx_IHuhSq3AJ5eI5OnqOPBNLWSHKh2a30DoXe8/edit?usp=sharing"",""สุราษฎร์ธานี!M480"")"),0)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IFERROR(__xludf.DUMMYFUNCTION("IMPORTRANGE(""https://docs.google.com/spreadsheets/d/1IYY_tgx_IHuhSq3AJ5eI5OnqOPBNLWSHKh2a30DoXe8/edit?usp=sharing"",""สุราษฎร์ธานี!M481"")"),0)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IFERROR(__xludf.DUMMYFUNCTION("IMPORTRANGE(""https://docs.google.com/spreadsheets/d/1IYY_tgx_IHuhSq3AJ5eI5OnqOPBNLWSHKh2a30DoXe8/edit?usp=sharing"",""สุราษฎร์ธานี!M482"")"),0)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IFERROR(__xludf.DUMMYFUNCTION("IMPORTRANGE(""https://docs.google.com/spreadsheets/d/1IYY_tgx_IHuhSq3AJ5eI5OnqOPBNLWSHKh2a30DoXe8/edit?usp=sharing"",""สุราษฎร์ธานี!M483"")"),0)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4">
        <f ca="1">IFERROR(__xludf.DUMMYFUNCTION("IMPORTRANGE(""https://docs.google.com/spreadsheets/d/1IYY_tgx_IHuhSq3AJ5eI5OnqOPBNLWSHKh2a30DoXe8/edit?usp=sharing"",""สุราษฎร์ธานี!J484"")"),0)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4">
        <f ca="1">IFERROR(__xludf.DUMMYFUNCTION("IMPORTRANGE(""https://docs.google.com/spreadsheets/d/1IYY_tgx_IHuhSq3AJ5eI5OnqOPBNLWSHKh2a30DoXe8/edit?usp=sharing"",""สุราษฎร์ธานี!J485"")"),0)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4">
        <f ca="1">IFERROR(__xludf.DUMMYFUNCTION("IMPORTRANGE(""https://docs.google.com/spreadsheets/d/1IYY_tgx_IHuhSq3AJ5eI5OnqOPBNLWSHKh2a30DoXe8/edit?usp=sharing"",""สุราษฎร์ธานี!J486"")"),0)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4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4">
        <f ca="1">IFERROR(__xludf.DUMMYFUNCTION("IMPORTRANGE(""https://docs.google.com/spreadsheets/d/1IYY_tgx_IHuhSq3AJ5eI5OnqOPBNLWSHKh2a30DoXe8/edit?usp=sharing"",""สุราษฎร์ธานี!J488"")"),0)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4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4">
        <f ca="1">IFERROR(__xludf.DUMMYFUNCTION("IMPORTRANGE(""https://docs.google.com/spreadsheets/d/1IYY_tgx_IHuhSq3AJ5eI5OnqOPBNLWSHKh2a30DoXe8/edit?usp=sharing"",""สุราษฎร์ธานี!J490"")"),0)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IFERROR(__xludf.DUMMYFUNCTION("IMPORTRANGE(""https://docs.google.com/spreadsheets/d/1IYY_tgx_IHuhSq3AJ5eI5OnqOPBNLWSHKh2a30DoXe8/edit?usp=sharing"",""สุราษฎร์ธานี!I491"")"),0)</f>
        <v>0</v>
      </c>
      <c r="J596" s="247">
        <f ca="1">IFERROR(__xludf.DUMMYFUNCTION("IMPORTRANGE(""https://docs.google.com/spreadsheets/d/1IYY_tgx_IHuhSq3AJ5eI5OnqOPBNLWSHKh2a30DoXe8/edit?usp=sharing"",""สุราษฎร์ธานี!J491"")"),0)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4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32.098765432098766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IFERROR(__xludf.DUMMYFUNCTION("IMPORTRANGE(""https://docs.google.com/spreadsheets/d/1IYY_tgx_IHuhSq3AJ5eI5OnqOPBNLWSHKh2a30DoXe8/edit?usp=sharing"",""สุราษฎร์ธานี!L493"")"),0)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IFERROR(__xludf.DUMMYFUNCTION("IMPORTRANGE(""https://docs.google.com/spreadsheets/d/1IYY_tgx_IHuhSq3AJ5eI5OnqOPBNLWSHKh2a30DoXe8/edit?usp=sharing"",""สุราษฎร์ธานี!M493"")"),0)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5">
        <f t="shared" ca="1" si="126"/>
        <v>32.098765432098766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IFERROR(__xludf.DUMMYFUNCTION("IMPORTRANGE(""https://docs.google.com/spreadsheets/d/1IYY_tgx_IHuhSq3AJ5eI5OnqOPBNLWSHKh2a30DoXe8/edit?usp=sharing"",""สุราษฎร์ธานี!L495"")"),0)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IFERROR(__xludf.DUMMYFUNCTION("IMPORTRANGE(""https://docs.google.com/spreadsheets/d/1IYY_tgx_IHuhSq3AJ5eI5OnqOPBNLWSHKh2a30DoXe8/edit?usp=sharing"",""สุราษฎร์ธานี!M495"")"),0)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5">
        <f t="shared" ca="1" si="126"/>
        <v>32.098765432098766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IFERROR(__xludf.DUMMYFUNCTION("IMPORTRANGE(""https://docs.google.com/spreadsheets/d/1IYY_tgx_IHuhSq3AJ5eI5OnqOPBNLWSHKh2a30DoXe8/edit?usp=sharing"",""สุราษฎร์ธานี!M497"")"),0)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IFERROR(__xludf.DUMMYFUNCTION("IMPORTRANGE(""https://docs.google.com/spreadsheets/d/1IYY_tgx_IHuhSq3AJ5eI5OnqOPBNLWSHKh2a30DoXe8/edit?usp=sharing"",""สุราษฎร์ธานี!M498"")"),0)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IFERROR(__xludf.DUMMYFUNCTION("IMPORTRANGE(""https://docs.google.com/spreadsheets/d/1IYY_tgx_IHuhSq3AJ5eI5OnqOPBNLWSHKh2a30DoXe8/edit?usp=sharing"",""สุราษฎร์ธานี!J502"")"),0)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IFERROR(__xludf.DUMMYFUNCTION("IMPORTRANGE(""https://docs.google.com/spreadsheets/d/1IYY_tgx_IHuhSq3AJ5eI5OnqOPBNLWSHKh2a30DoXe8/edit?usp=sharing"",""สุราษฎร์ธานี!J503"")"),1)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IFERROR(__xludf.DUMMYFUNCTION("IMPORTRANGE(""https://docs.google.com/spreadsheets/d/1IYY_tgx_IHuhSq3AJ5eI5OnqOPBNLWSHKh2a30DoXe8/edit?usp=sharing"",""สุราษฎร์ธานี!J166"")"),0)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IFERROR(__xludf.DUMMYFUNCTION("IMPORTRANGE(""https://docs.google.com/spreadsheets/d/1IYY_tgx_IHuhSq3AJ5eI5OnqOPBNLWSHKh2a30DoXe8/edit?usp=sharing"",""สุราษฎร์ธานี!J166"")"),0)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6">
        <f ca="1">IFERROR(__xludf.DUMMYFUNCTION("IMPORTRANGE(""https://docs.google.com/spreadsheets/d/1IYY_tgx_IHuhSq3AJ5eI5OnqOPBNLWSHKh2a30DoXe8/edit?usp=sharing"",""สุราษฎร์ธานี!J506"")"),0)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IFERROR(__xludf.DUMMYFUNCTION("IMPORTRANGE(""https://docs.google.com/spreadsheets/d/1IYY_tgx_IHuhSq3AJ5eI5OnqOPBNLWSHKh2a30DoXe8/edit?usp=sharing"",""สุราษฎร์ธานี!I507"")"),0)</f>
        <v>0</v>
      </c>
      <c r="J612" s="204">
        <f ca="1">IFERROR(__xludf.DUMMYFUNCTION("IMPORTRANGE(""https://docs.google.com/spreadsheets/d/1IYY_tgx_IHuhSq3AJ5eI5OnqOPBNLWSHKh2a30DoXe8/edit?usp=sharing"",""สุราษฎร์ธานี!J507"")"),1)</f>
        <v>1</v>
      </c>
      <c r="K612" s="167">
        <f t="shared" ca="1" si="127"/>
        <v>1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IFERROR(__xludf.DUMMYFUNCTION("IMPORTRANGE(""https://docs.google.com/spreadsheets/d/1IYY_tgx_IHuhSq3AJ5eI5OnqOPBNLWSHKh2a30DoXe8/edit?usp=sharing"",""สุราษฎร์ธานี!I508"")"),0)</f>
        <v>0</v>
      </c>
      <c r="J613" s="204">
        <f ca="1">IFERROR(__xludf.DUMMYFUNCTION("IMPORTRANGE(""https://docs.google.com/spreadsheets/d/1IYY_tgx_IHuhSq3AJ5eI5OnqOPBNLWSHKh2a30DoXe8/edit?usp=sharing"",""สุราษฎร์ธานี!J508"")"),0)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IFERROR(__xludf.DUMMYFUNCTION("IMPORTRANGE(""https://docs.google.com/spreadsheets/d/1IYY_tgx_IHuhSq3AJ5eI5OnqOPBNLWSHKh2a30DoXe8/edit?usp=sharing"",""สุราษฎร์ธานี!I509"")"),0)</f>
        <v>0</v>
      </c>
      <c r="J614" s="204">
        <f ca="1">IFERROR(__xludf.DUMMYFUNCTION("IMPORTRANGE(""https://docs.google.com/spreadsheets/d/1IYY_tgx_IHuhSq3AJ5eI5OnqOPBNLWSHKh2a30DoXe8/edit?usp=sharing"",""สุราษฎร์ธานี!J509"")"),45)</f>
        <v>45</v>
      </c>
      <c r="K614" s="167">
        <f t="shared" ca="1" si="127"/>
        <v>45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IFERROR(__xludf.DUMMYFUNCTION("IMPORTRANGE(""https://docs.google.com/spreadsheets/d/1IYY_tgx_IHuhSq3AJ5eI5OnqOPBNLWSHKh2a30DoXe8/edit?usp=sharing"",""สุราษฎร์ธานี!I510"")"),0)</f>
        <v>0</v>
      </c>
      <c r="J615" s="204">
        <f ca="1">IFERROR(__xludf.DUMMYFUNCTION("IMPORTRANGE(""https://docs.google.com/spreadsheets/d/1IYY_tgx_IHuhSq3AJ5eI5OnqOPBNLWSHKh2a30DoXe8/edit?usp=sharing"",""สุราษฎร์ธานี!J510"")"),0)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IFERROR(__xludf.DUMMYFUNCTION("IMPORTRANGE(""https://docs.google.com/spreadsheets/d/1IYY_tgx_IHuhSq3AJ5eI5OnqOPBNLWSHKh2a30DoXe8/edit?usp=sharing"",""สุราษฎร์ธานี!I511"")"),0)</f>
        <v>0</v>
      </c>
      <c r="J616" s="204">
        <f ca="1">IFERROR(__xludf.DUMMYFUNCTION("IMPORTRANGE(""https://docs.google.com/spreadsheets/d/1IYY_tgx_IHuhSq3AJ5eI5OnqOPBNLWSHKh2a30DoXe8/edit?usp=sharing"",""สุราษฎร์ธานี!J511"")"),0)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IFERROR(__xludf.DUMMYFUNCTION("IMPORTRANGE(""https://docs.google.com/spreadsheets/d/1IYY_tgx_IHuhSq3AJ5eI5OnqOPBNLWSHKh2a30DoXe8/edit?usp=sharing"",""สุราษฎร์ธานี!I512"")"),0)</f>
        <v>0</v>
      </c>
      <c r="J617" s="194">
        <f ca="1">IFERROR(__xludf.DUMMYFUNCTION("IMPORTRANGE(""https://docs.google.com/spreadsheets/d/1IYY_tgx_IHuhSq3AJ5eI5OnqOPBNLWSHKh2a30DoXe8/edit?usp=sharing"",""สุราษฎร์ธานี!J512"")"),0)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IFERROR(__xludf.DUMMYFUNCTION("IMPORTRANGE(""https://docs.google.com/spreadsheets/d/1IYY_tgx_IHuhSq3AJ5eI5OnqOPBNLWSHKh2a30DoXe8/edit?usp=sharing"",""สุราษฎร์ธานี!I513"")"),0)</f>
        <v>0</v>
      </c>
      <c r="J618" s="195">
        <f ca="1">IFERROR(__xludf.DUMMYFUNCTION("IMPORTRANGE(""https://docs.google.com/spreadsheets/d/1IYY_tgx_IHuhSq3AJ5eI5OnqOPBNLWSHKh2a30DoXe8/edit?usp=sharing"",""สุราษฎร์ธานี!J513"")"),0)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IFERROR(__xludf.DUMMYFUNCTION("IMPORTRANGE(""https://docs.google.com/spreadsheets/d/1IYY_tgx_IHuhSq3AJ5eI5OnqOPBNLWSHKh2a30DoXe8/edit?usp=sharing"",""สุราษฎร์ธานี!I514"")"),0)</f>
        <v>0</v>
      </c>
      <c r="J619" s="195">
        <f ca="1">IFERROR(__xludf.DUMMYFUNCTION("IMPORTRANGE(""https://docs.google.com/spreadsheets/d/1IYY_tgx_IHuhSq3AJ5eI5OnqOPBNLWSHKh2a30DoXe8/edit?usp=sharing"",""สุราษฎร์ธานี!J514"")"),0)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IFERROR(__xludf.DUMMYFUNCTION("IMPORTRANGE(""https://docs.google.com/spreadsheets/d/1IYY_tgx_IHuhSq3AJ5eI5OnqOPBNLWSHKh2a30DoXe8/edit?usp=sharing"",""สุราษฎร์ธานี!I515"")"),0)</f>
        <v>0</v>
      </c>
      <c r="J620" s="209">
        <f ca="1">IFERROR(__xludf.DUMMYFUNCTION("IMPORTRANGE(""https://docs.google.com/spreadsheets/d/1IYY_tgx_IHuhSq3AJ5eI5OnqOPBNLWSHKh2a30DoXe8/edit?usp=sharing"",""สุราษฎร์ธานี!J515"")"),0)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IFERROR(__xludf.DUMMYFUNCTION("IMPORTRANGE(""https://docs.google.com/spreadsheets/d/1IYY_tgx_IHuhSq3AJ5eI5OnqOPBNLWSHKh2a30DoXe8/edit?usp=sharing"",""สุราษฎร์ธานี!I516"")"),0)</f>
        <v>0</v>
      </c>
      <c r="J621" s="209">
        <f ca="1">IFERROR(__xludf.DUMMYFUNCTION("IMPORTRANGE(""https://docs.google.com/spreadsheets/d/1IYY_tgx_IHuhSq3AJ5eI5OnqOPBNLWSHKh2a30DoXe8/edit?usp=sharing"",""สุราษฎร์ธานี!J516"")"),0)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IFERROR(__xludf.DUMMYFUNCTION("IMPORTRANGE(""https://docs.google.com/spreadsheets/d/1IYY_tgx_IHuhSq3AJ5eI5OnqOPBNLWSHKh2a30DoXe8/edit?usp=sharing"",""สุราษฎร์ธานี!I517"")"),0)</f>
        <v>0</v>
      </c>
      <c r="J622" s="195">
        <f ca="1">IFERROR(__xludf.DUMMYFUNCTION("IMPORTRANGE(""https://docs.google.com/spreadsheets/d/1IYY_tgx_IHuhSq3AJ5eI5OnqOPBNLWSHKh2a30DoXe8/edit?usp=sharing"",""สุราษฎร์ธานี!J517"")"),0)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IFERROR(__xludf.DUMMYFUNCTION("IMPORTRANGE(""https://docs.google.com/spreadsheets/d/1IYY_tgx_IHuhSq3AJ5eI5OnqOPBNLWSHKh2a30DoXe8/edit?usp=sharing"",""สุราษฎร์ธานี!I518"")"),0)</f>
        <v>0</v>
      </c>
      <c r="J623" s="195">
        <f ca="1">IFERROR(__xludf.DUMMYFUNCTION("IMPORTRANGE(""https://docs.google.com/spreadsheets/d/1IYY_tgx_IHuhSq3AJ5eI5OnqOPBNLWSHKh2a30DoXe8/edit?usp=sharing"",""สุราษฎร์ธานี!J518"")"),0)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IFERROR(__xludf.DUMMYFUNCTION("IMPORTRANGE(""https://docs.google.com/spreadsheets/d/1IYY_tgx_IHuhSq3AJ5eI5OnqOPBNLWSHKh2a30DoXe8/edit?usp=sharing"",""สุราษฎร์ธานี!I519"")"),0)</f>
        <v>0</v>
      </c>
      <c r="J624" s="194">
        <f ca="1">IFERROR(__xludf.DUMMYFUNCTION("IMPORTRANGE(""https://docs.google.com/spreadsheets/d/1IYY_tgx_IHuhSq3AJ5eI5OnqOPBNLWSHKh2a30DoXe8/edit?usp=sharing"",""สุราษฎร์ธานี!J519"")"),0)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IFERROR(__xludf.DUMMYFUNCTION("IMPORTRANGE(""https://docs.google.com/spreadsheets/d/1IYY_tgx_IHuhSq3AJ5eI5OnqOPBNLWSHKh2a30DoXe8/edit?usp=sharing"",""สุราษฎร์ธานี!I520"")"),0)</f>
        <v>0</v>
      </c>
      <c r="J625" s="195">
        <f ca="1">IFERROR(__xludf.DUMMYFUNCTION("IMPORTRANGE(""https://docs.google.com/spreadsheets/d/1IYY_tgx_IHuhSq3AJ5eI5OnqOPBNLWSHKh2a30DoXe8/edit?usp=sharing"",""สุราษฎร์ธานี!J520"")"),0)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IFERROR(__xludf.DUMMYFUNCTION("IMPORTRANGE(""https://docs.google.com/spreadsheets/d/1IYY_tgx_IHuhSq3AJ5eI5OnqOPBNLWSHKh2a30DoXe8/edit?usp=sharing"",""สุราษฎร์ธานี!I521"")"),0)</f>
        <v>0</v>
      </c>
      <c r="J626" s="195">
        <f ca="1">IFERROR(__xludf.DUMMYFUNCTION("IMPORTRANGE(""https://docs.google.com/spreadsheets/d/1IYY_tgx_IHuhSq3AJ5eI5OnqOPBNLWSHKh2a30DoXe8/edit?usp=sharing"",""สุราษฎร์ธานี!J521"")"),0)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IFERROR(__xludf.DUMMYFUNCTION("IMPORTRANGE(""https://docs.google.com/spreadsheets/d/1IYY_tgx_IHuhSq3AJ5eI5OnqOPBNLWSHKh2a30DoXe8/edit?usp=sharing"",""สุราษฎร์ธานี!J523"")"),3061830.95)</f>
        <v>3061830.95</v>
      </c>
      <c r="K628" s="348">
        <f t="shared" ref="K628:K635" ca="1" si="129">IF(I628&gt;0,J628*100/I628,0)</f>
        <v>74.837589309735634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IFERROR(__xludf.DUMMYFUNCTION("IMPORTRANGE(""https://docs.google.com/spreadsheets/d/1IYY_tgx_IHuhSq3AJ5eI5OnqOPBNLWSHKh2a30DoXe8/edit?usp=sharing"",""สุราษฎร์ธานี!J524"")"),196)</f>
        <v>196</v>
      </c>
      <c r="K629" s="348">
        <f t="shared" ca="1" si="129"/>
        <v>77.777777777777771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IFERROR(__xludf.DUMMYFUNCTION("IMPORTRANGE(""https://docs.google.com/spreadsheets/d/1IYY_tgx_IHuhSq3AJ5eI5OnqOPBNLWSHKh2a30DoXe8/edit?usp=sharing"",""สุราษฎร์ธานี!J525"")"),629272.35)</f>
        <v>629272.35</v>
      </c>
      <c r="K630" s="348">
        <f t="shared" ca="1" si="129"/>
        <v>27.421455561001352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IFERROR(__xludf.DUMMYFUNCTION("IMPORTRANGE(""https://docs.google.com/spreadsheets/d/1IYY_tgx_IHuhSq3AJ5eI5OnqOPBNLWSHKh2a30DoXe8/edit?usp=sharing"",""สุราษฎร์ธานี!J526"")"),63)</f>
        <v>63</v>
      </c>
      <c r="K631" s="348">
        <f t="shared" ca="1" si="129"/>
        <v>87.5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IFERROR(__xludf.DUMMYFUNCTION("IMPORTRANGE(""https://docs.google.com/spreadsheets/d/1IYY_tgx_IHuhSq3AJ5eI5OnqOPBNLWSHKh2a30DoXe8/edit?usp=sharing"",""สุราษฎร์ธานี!J529"")"),5000000)</f>
        <v>5000000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8">
        <f ca="1">IFERROR(__xludf.DUMMYFUNCTION("IMPORTRANGE(""https://docs.google.com/spreadsheets/d/1IYY_tgx_IHuhSq3AJ5eI5OnqOPBNLWSHKh2a30DoXe8/edit?usp=sharing"",""สุราษฎร์ธานี!J530"")"),100)</f>
        <v>100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IFERROR(__xludf.DUMMYFUNCTION("IMPORTRANGE(""https://docs.google.com/spreadsheets/d/1IYY_tgx_IHuhSq3AJ5eI5OnqOPBNLWSHKh2a30DoXe8/edit?usp=sharing"",""สุราษฎร์ธานี!J541"")"),0)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IFERROR(__xludf.DUMMYFUNCTION("IMPORTRANGE(""https://docs.google.com/spreadsheets/d/1IYY_tgx_IHuhSq3AJ5eI5OnqOPBNLWSHKh2a30DoXe8/edit?usp=sharing"",""สุราษฎร์ธานี!J542"")"),0)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IFERROR(__xludf.DUMMYFUNCTION("IMPORTRANGE(""https://docs.google.com/spreadsheets/d/1IYY_tgx_IHuhSq3AJ5eI5OnqOPBNLWSHKh2a30DoXe8/edit?usp=sharing"",""สุราษฎร์ธานี!I543"")"),0)</f>
        <v>0</v>
      </c>
      <c r="J648" s="547">
        <f ca="1">IFERROR(__xludf.DUMMYFUNCTION("IMPORTRANGE(""https://docs.google.com/spreadsheets/d/1IYY_tgx_IHuhSq3AJ5eI5OnqOPBNLWSHKh2a30DoXe8/edit?usp=sharing"",""สุราษฎร์ธานี!J543"")"),0)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IFERROR(__xludf.DUMMYFUNCTION("IMPORTRANGE(""https://docs.google.com/spreadsheets/d/1IYY_tgx_IHuhSq3AJ5eI5OnqOPBNLWSHKh2a30DoXe8/edit?usp=sharing"",""สุราษฎร์ธานี!L543"")"),0)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IFERROR(__xludf.DUMMYFUNCTION("IMPORTRANGE(""https://docs.google.com/spreadsheets/d/1IYY_tgx_IHuhSq3AJ5eI5OnqOPBNLWSHKh2a30DoXe8/edit?usp=sharing"",""สุราษฎร์ธานี!M543"")"),0)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IFERROR(__xludf.DUMMYFUNCTION("IMPORTRANGE(""https://docs.google.com/spreadsheets/d/1IYY_tgx_IHuhSq3AJ5eI5OnqOPBNLWSHKh2a30DoXe8/edit?usp=sharing"",""สุราษฎร์ธานี!I544"")"),0)</f>
        <v>0</v>
      </c>
      <c r="J649" s="547">
        <f ca="1">IFERROR(__xludf.DUMMYFUNCTION("IMPORTRANGE(""https://docs.google.com/spreadsheets/d/1IYY_tgx_IHuhSq3AJ5eI5OnqOPBNLWSHKh2a30DoXe8/edit?usp=sharing"",""สุราษฎร์ธานี!J544"")"),0)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IFERROR(__xludf.DUMMYFUNCTION("IMPORTRANGE(""https://docs.google.com/spreadsheets/d/1IYY_tgx_IHuhSq3AJ5eI5OnqOPBNLWSHKh2a30DoXe8/edit?usp=sharing"",""สุราษฎร์ธานี!L544"")"),0)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IFERROR(__xludf.DUMMYFUNCTION("IMPORTRANGE(""https://docs.google.com/spreadsheets/d/1IYY_tgx_IHuhSq3AJ5eI5OnqOPBNLWSHKh2a30DoXe8/edit?usp=sharing"",""สุราษฎร์ธานี!M544"")"),0)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IFERROR(__xludf.DUMMYFUNCTION("IMPORTRANGE(""https://docs.google.com/spreadsheets/d/1IYY_tgx_IHuhSq3AJ5eI5OnqOPBNLWSHKh2a30DoXe8/edit?usp=sharing"",""สุราษฎร์ธานี!I545"")"),0)</f>
        <v>0</v>
      </c>
      <c r="J650" s="547">
        <f ca="1">IFERROR(__xludf.DUMMYFUNCTION("IMPORTRANGE(""https://docs.google.com/spreadsheets/d/1IYY_tgx_IHuhSq3AJ5eI5OnqOPBNLWSHKh2a30DoXe8/edit?usp=sharing"",""สุราษฎร์ธานี!J545"")"),0)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IFERROR(__xludf.DUMMYFUNCTION("IMPORTRANGE(""https://docs.google.com/spreadsheets/d/1IYY_tgx_IHuhSq3AJ5eI5OnqOPBNLWSHKh2a30DoXe8/edit?usp=sharing"",""สุราษฎร์ธานี!L545"")"),0)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IFERROR(__xludf.DUMMYFUNCTION("IMPORTRANGE(""https://docs.google.com/spreadsheets/d/1IYY_tgx_IHuhSq3AJ5eI5OnqOPBNLWSHKh2a30DoXe8/edit?usp=sharing"",""สุราษฎร์ธานี!M545"")"),0)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IFERROR(__xludf.DUMMYFUNCTION("IMPORTRANGE(""https://docs.google.com/spreadsheets/d/1IYY_tgx_IHuhSq3AJ5eI5OnqOPBNLWSHKh2a30DoXe8/edit?usp=sharing"",""สุราษฎร์ธานี!I546"")"),0)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IFERROR(__xludf.DUMMYFUNCTION("IMPORTRANGE(""https://docs.google.com/spreadsheets/d/1IYY_tgx_IHuhSq3AJ5eI5OnqOPBNLWSHKh2a30DoXe8/edit?usp=sharing"",""สุราษฎร์ธานี!L546"")"),0)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IFERROR(__xludf.DUMMYFUNCTION("IMPORTRANGE(""https://docs.google.com/spreadsheets/d/1IYY_tgx_IHuhSq3AJ5eI5OnqOPBNLWSHKh2a30DoXe8/edit?usp=sharing"",""สุราษฎร์ธานี!M546"")"),0)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IFERROR(__xludf.DUMMYFUNCTION("IMPORTRANGE(""https://docs.google.com/spreadsheets/d/1IYY_tgx_IHuhSq3AJ5eI5OnqOPBNLWSHKh2a30DoXe8/edit?usp=sharing"",""สุราษฎร์ธานี!J547"")"),0)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IFERROR(__xludf.DUMMYFUNCTION("IMPORTRANGE(""https://docs.google.com/spreadsheets/d/1IYY_tgx_IHuhSq3AJ5eI5OnqOPBNLWSHKh2a30DoXe8/edit?usp=sharing"",""สุราษฎร์ธานี!J548"")"),0)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IFERROR(__xludf.DUMMYFUNCTION("IMPORTRANGE(""https://docs.google.com/spreadsheets/d/1IYY_tgx_IHuhSq3AJ5eI5OnqOPBNLWSHKh2a30DoXe8/edit?usp=sharing"",""สุราษฎร์ธานี!J550"")"),0)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IFERROR(__xludf.DUMMYFUNCTION("IMPORTRANGE(""https://docs.google.com/spreadsheets/d/1IYY_tgx_IHuhSq3AJ5eI5OnqOPBNLWSHKh2a30DoXe8/edit?usp=sharing"",""สุราษฎร์ธานี!J551"")"),0)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IFERROR(__xludf.DUMMYFUNCTION("IMPORTRANGE(""https://docs.google.com/spreadsheets/d/1IYY_tgx_IHuhSq3AJ5eI5OnqOPBNLWSHKh2a30DoXe8/edit?usp=sharing"",""สุราษฎร์ธานี!J552"")"),0)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IFERROR(__xludf.DUMMYFUNCTION("IMPORTRANGE(""https://docs.google.com/spreadsheets/d/1IYY_tgx_IHuhSq3AJ5eI5OnqOPBNLWSHKh2a30DoXe8/edit?usp=sharing"",""สุราษฎร์ธานี!J553"")"),0)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IFERROR(__xludf.DUMMYFUNCTION("IMPORTRANGE(""https://docs.google.com/spreadsheets/d/1IYY_tgx_IHuhSq3AJ5eI5OnqOPBNLWSHKh2a30DoXe8/edit?usp=sharing"",""สุราษฎร์ธานี!J554"")"),0)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IFERROR(__xludf.DUMMYFUNCTION("IMPORTRANGE(""https://docs.google.com/spreadsheets/d/1IYY_tgx_IHuhSq3AJ5eI5OnqOPBNLWSHKh2a30DoXe8/edit?usp=sharing"",""สุราษฎร์ธานี!J555"")"),0)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IFERROR(__xludf.DUMMYFUNCTION("IMPORTRANGE(""https://docs.google.com/spreadsheets/d/1IYY_tgx_IHuhSq3AJ5eI5OnqOPBNLWSHKh2a30DoXe8/edit?usp=sharing"",""สุราษฎร์ธานี!J556"")"),0)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IFERROR(__xludf.DUMMYFUNCTION("IMPORTRANGE(""https://docs.google.com/spreadsheets/d/1IYY_tgx_IHuhSq3AJ5eI5OnqOPBNLWSHKh2a30DoXe8/edit?usp=sharing"",""สุราษฎร์ธานี!L556"")"),0)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IFERROR(__xludf.DUMMYFUNCTION("IMPORTRANGE(""https://docs.google.com/spreadsheets/d/1IYY_tgx_IHuhSq3AJ5eI5OnqOPBNLWSHKh2a30DoXe8/edit?usp=sharing"",""สุราษฎร์ธานี!M556"")"),0)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IFERROR(__xludf.DUMMYFUNCTION("IMPORTRANGE(""https://docs.google.com/spreadsheets/d/1IYY_tgx_IHuhSq3AJ5eI5OnqOPBNLWSHKh2a30DoXe8/edit?usp=sharing"",""สุราษฎร์ธานี!J557"")"),0)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IFERROR(__xludf.DUMMYFUNCTION("IMPORTRANGE(""https://docs.google.com/spreadsheets/d/1IYY_tgx_IHuhSq3AJ5eI5OnqOPBNLWSHKh2a30DoXe8/edit?usp=sharing"",""สุราษฎร์ธานี!I558"")"),0)</f>
        <v>0</v>
      </c>
      <c r="J663" s="547">
        <f ca="1">IFERROR(__xludf.DUMMYFUNCTION("IMPORTRANGE(""https://docs.google.com/spreadsheets/d/1IYY_tgx_IHuhSq3AJ5eI5OnqOPBNLWSHKh2a30DoXe8/edit?usp=sharing"",""สุราษฎร์ธานี!J558"")"),0)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IFERROR(__xludf.DUMMYFUNCTION("IMPORTRANGE(""https://docs.google.com/spreadsheets/d/1IYY_tgx_IHuhSq3AJ5eI5OnqOPBNLWSHKh2a30DoXe8/edit?usp=sharing"",""สุราษฎร์ธานี!I560"")"),0)</f>
        <v>0</v>
      </c>
      <c r="J665" s="547">
        <f ca="1">IFERROR(__xludf.DUMMYFUNCTION("IMPORTRANGE(""https://docs.google.com/spreadsheets/d/1IYY_tgx_IHuhSq3AJ5eI5OnqOPBNLWSHKh2a30DoXe8/edit?usp=sharing"",""สุราษฎร์ธานี!J560"")"),0)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IFERROR(__xludf.DUMMYFUNCTION("IMPORTRANGE(""https://docs.google.com/spreadsheets/d/1IYY_tgx_IHuhSq3AJ5eI5OnqOPBNLWSHKh2a30DoXe8/edit?usp=sharing"",""สุราษฎร์ธานี!L560"")"),0)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IFERROR(__xludf.DUMMYFUNCTION("IMPORTRANGE(""https://docs.google.com/spreadsheets/d/1IYY_tgx_IHuhSq3AJ5eI5OnqOPBNLWSHKh2a30DoXe8/edit?usp=sharing"",""สุราษฎร์ธานี!M560"")"),0)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IFERROR(__xludf.DUMMYFUNCTION("IMPORTRANGE(""https://docs.google.com/spreadsheets/d/1IYY_tgx_IHuhSq3AJ5eI5OnqOPBNLWSHKh2a30DoXe8/edit?usp=sharing"",""สุราษฎร์ธานี!J561"")"),0)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IFERROR(__xludf.DUMMYFUNCTION("IMPORTRANGE(""https://docs.google.com/spreadsheets/d/1IYY_tgx_IHuhSq3AJ5eI5OnqOPBNLWSHKh2a30DoXe8/edit?usp=sharing"",""สุราษฎร์ธานี!J562"")"),0)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IFERROR(__xludf.DUMMYFUNCTION("IMPORTRANGE(""https://docs.google.com/spreadsheets/d/1IYY_tgx_IHuhSq3AJ5eI5OnqOPBNLWSHKh2a30DoXe8/edit?usp=sharing"",""สุราษฎร์ธานี!I563"")"),0)</f>
        <v>0</v>
      </c>
      <c r="J668" s="547">
        <f ca="1">IFERROR(__xludf.DUMMYFUNCTION("IMPORTRANGE(""https://docs.google.com/spreadsheets/d/1IYY_tgx_IHuhSq3AJ5eI5OnqOPBNLWSHKh2a30DoXe8/edit?usp=sharing"",""สุราษฎร์ธานี!J563"")"),0)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IFERROR(__xludf.DUMMYFUNCTION("IMPORTRANGE(""https://docs.google.com/spreadsheets/d/1IYY_tgx_IHuhSq3AJ5eI5OnqOPBNLWSHKh2a30DoXe8/edit?usp=sharing"",""สุราษฎร์ธานี!L563"")"),0)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IFERROR(__xludf.DUMMYFUNCTION("IMPORTRANGE(""https://docs.google.com/spreadsheets/d/1IYY_tgx_IHuhSq3AJ5eI5OnqOPBNLWSHKh2a30DoXe8/edit?usp=sharing"",""สุราษฎร์ธานี!M563"")"),0)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IFERROR(__xludf.DUMMYFUNCTION("IMPORTRANGE(""https://docs.google.com/spreadsheets/d/1IYY_tgx_IHuhSq3AJ5eI5OnqOPBNLWSHKh2a30DoXe8/edit?usp=sharing"",""สุราษฎร์ธานี!J564"")"),0)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IFERROR(__xludf.DUMMYFUNCTION("IMPORTRANGE(""https://docs.google.com/spreadsheets/d/1IYY_tgx_IHuhSq3AJ5eI5OnqOPBNLWSHKh2a30DoXe8/edit?usp=sharing"",""สุราษฎร์ธานี!J565"")"),0)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IFERROR(__xludf.DUMMYFUNCTION("IMPORTRANGE(""https://docs.google.com/spreadsheets/d/1IYY_tgx_IHuhSq3AJ5eI5OnqOPBNLWSHKh2a30DoXe8/edit?usp=sharing"",""สุราษฎร์ธานี!I566"")"),0)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IFERROR(__xludf.DUMMYFUNCTION("IMPORTRANGE(""https://docs.google.com/spreadsheets/d/1IYY_tgx_IHuhSq3AJ5eI5OnqOPBNLWSHKh2a30DoXe8/edit?usp=sharing"",""สุราษฎร์ธานี!L566"")"),0)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IFERROR(__xludf.DUMMYFUNCTION("IMPORTRANGE(""https://docs.google.com/spreadsheets/d/1IYY_tgx_IHuhSq3AJ5eI5OnqOPBNLWSHKh2a30DoXe8/edit?usp=sharing"",""สุราษฎร์ธานี!M566"")"),0)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IFERROR(__xludf.DUMMYFUNCTION("IMPORTRANGE(""https://docs.google.com/spreadsheets/d/1IYY_tgx_IHuhSq3AJ5eI5OnqOPBNLWSHKh2a30DoXe8/edit?usp=sharing"",""สุราษฎร์ธานี!J567"")"),0)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IFERROR(__xludf.DUMMYFUNCTION("IMPORTRANGE(""https://docs.google.com/spreadsheets/d/1IYY_tgx_IHuhSq3AJ5eI5OnqOPBNLWSHKh2a30DoXe8/edit?usp=sharing"",""สุราษฎร์ธานี!J568"")"),0)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IFERROR(__xludf.DUMMYFUNCTION("IMPORTRANGE(""https://docs.google.com/spreadsheets/d/1IYY_tgx_IHuhSq3AJ5eI5OnqOPBNLWSHKh2a30DoXe8/edit?usp=sharing"",""สุราษฎร์ธานี!J569"")"),0)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IFERROR(__xludf.DUMMYFUNCTION("IMPORTRANGE(""https://docs.google.com/spreadsheets/d/1IYY_tgx_IHuhSq3AJ5eI5OnqOPBNLWSHKh2a30DoXe8/edit?usp=sharing"",""สุราษฎร์ธานี!J570"")"),0)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IFERROR(__xludf.DUMMYFUNCTION("IMPORTRANGE(""https://docs.google.com/spreadsheets/d/1IYY_tgx_IHuhSq3AJ5eI5OnqOPBNLWSHKh2a30DoXe8/edit?usp=sharing"",""สุราษฎร์ธานี!J571"")"),0)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IFERROR(__xludf.DUMMYFUNCTION("IMPORTRANGE(""https://docs.google.com/spreadsheets/d/1IYY_tgx_IHuhSq3AJ5eI5OnqOPBNLWSHKh2a30DoXe8/edit?usp=sharing"",""สุราษฎร์ธานี!J572"")"),0)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260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10113306</v>
      </c>
      <c r="M8" s="23">
        <f t="shared" ca="1" si="0"/>
        <v>8945517</v>
      </c>
      <c r="N8" s="23">
        <f t="shared" ca="1" si="0"/>
        <v>3989384.9499999997</v>
      </c>
      <c r="O8" s="22">
        <f t="shared" ref="O8:O16" ca="1" si="1">IF(L8&gt;0,N8*100/L8,0)</f>
        <v>39.446892539393154</v>
      </c>
      <c r="P8" s="22">
        <f t="shared" ref="P8:P16" ca="1" si="2">IF(M8&gt;0,N8*100/M8,0)</f>
        <v>44.596471618130067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10113306</v>
      </c>
      <c r="M10" s="30">
        <f t="shared" ca="1" si="4"/>
        <v>8945517</v>
      </c>
      <c r="N10" s="30">
        <f t="shared" ca="1" si="4"/>
        <v>3989384.9499999997</v>
      </c>
      <c r="O10" s="29">
        <f t="shared" ca="1" si="1"/>
        <v>39.446892539393154</v>
      </c>
      <c r="P10" s="29">
        <f t="shared" ca="1" si="2"/>
        <v>44.596471618130067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4711736</v>
      </c>
      <c r="M12" s="38">
        <f t="shared" ca="1" si="6"/>
        <v>3543947</v>
      </c>
      <c r="N12" s="38">
        <f t="shared" ca="1" si="6"/>
        <v>3487814.9499999997</v>
      </c>
      <c r="O12" s="38">
        <f t="shared" ca="1" si="1"/>
        <v>74.02398924727531</v>
      </c>
      <c r="P12" s="38">
        <f t="shared" ca="1" si="2"/>
        <v>98.416114857248147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1878000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2833736</v>
      </c>
      <c r="M14" s="38">
        <f t="shared" si="8"/>
        <v>0</v>
      </c>
      <c r="N14" s="38">
        <f t="shared" ca="1" si="8"/>
        <v>818378.36</v>
      </c>
      <c r="O14" s="41">
        <f t="shared" ca="1" si="1"/>
        <v>28.87983778305389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5401570</v>
      </c>
      <c r="M16" s="38">
        <f t="shared" ca="1" si="10"/>
        <v>5401570</v>
      </c>
      <c r="N16" s="38">
        <f t="shared" ca="1" si="10"/>
        <v>501570</v>
      </c>
      <c r="O16" s="50">
        <f t="shared" ca="1" si="1"/>
        <v>9.2856336213360198</v>
      </c>
      <c r="P16" s="50">
        <f t="shared" ca="1" si="2"/>
        <v>9.2856336213360198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8837033</v>
      </c>
      <c r="M18" s="23">
        <f t="shared" ca="1" si="11"/>
        <v>8945517</v>
      </c>
      <c r="N18" s="23">
        <f t="shared" ca="1" si="11"/>
        <v>3171006.59</v>
      </c>
      <c r="O18" s="22">
        <f t="shared" ref="O18:O20" ca="1" si="12">IF(L18&gt;0,N18*100/L18,0)</f>
        <v>35.883158861124542</v>
      </c>
      <c r="P18" s="22">
        <f t="shared" ref="P18:P26" ca="1" si="13">IF(M18&gt;0,N18*100/M18,0)</f>
        <v>35.447996912867083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8837033</v>
      </c>
      <c r="M20" s="30">
        <f t="shared" ca="1" si="15"/>
        <v>8945517</v>
      </c>
      <c r="N20" s="30">
        <f t="shared" ca="1" si="15"/>
        <v>3171006.59</v>
      </c>
      <c r="O20" s="29">
        <f t="shared" ca="1" si="12"/>
        <v>35.883158861124542</v>
      </c>
      <c r="P20" s="29">
        <f t="shared" ca="1" si="13"/>
        <v>35.447996912867083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3435463</v>
      </c>
      <c r="M22" s="42">
        <f t="shared" ca="1" si="18"/>
        <v>3543947</v>
      </c>
      <c r="N22" s="41">
        <f t="shared" ca="1" si="18"/>
        <v>2669436.59</v>
      </c>
      <c r="O22" s="41">
        <f t="shared" ca="1" si="17"/>
        <v>77.702382182547154</v>
      </c>
      <c r="P22" s="41">
        <f t="shared" ca="1" si="13"/>
        <v>75.323829334919509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1878000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1557463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5401570</v>
      </c>
      <c r="M26" s="50">
        <f t="shared" ca="1" si="22"/>
        <v>5401570</v>
      </c>
      <c r="N26" s="50">
        <f t="shared" ca="1" si="22"/>
        <v>501570</v>
      </c>
      <c r="O26" s="50">
        <f t="shared" ca="1" si="17"/>
        <v>9.2856336213360198</v>
      </c>
      <c r="P26" s="50">
        <f t="shared" ca="1" si="13"/>
        <v>9.2856336213360198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1276273</v>
      </c>
      <c r="M28" s="23">
        <f t="shared" si="23"/>
        <v>0</v>
      </c>
      <c r="N28" s="23">
        <f t="shared" ca="1" si="23"/>
        <v>818378.36</v>
      </c>
      <c r="O28" s="22">
        <f t="shared" ref="O28:O30" ca="1" si="24">IF(L28&gt;0,N28*100/L28,0)</f>
        <v>64.122516107447225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1276273</v>
      </c>
      <c r="M30" s="30">
        <f t="shared" si="27"/>
        <v>0</v>
      </c>
      <c r="N30" s="30">
        <f t="shared" ca="1" si="27"/>
        <v>818378.36</v>
      </c>
      <c r="O30" s="29">
        <f t="shared" ca="1" si="24"/>
        <v>64.122516107447225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1276273</v>
      </c>
      <c r="M32" s="41">
        <f t="shared" si="30"/>
        <v>0</v>
      </c>
      <c r="N32" s="41">
        <f t="shared" ca="1" si="30"/>
        <v>818378.36</v>
      </c>
      <c r="O32" s="41">
        <f t="shared" ca="1" si="29"/>
        <v>64.122516107447225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1276273</v>
      </c>
      <c r="M34" s="41">
        <f t="shared" si="32"/>
        <v>0</v>
      </c>
      <c r="N34" s="41">
        <f t="shared" ca="1" si="32"/>
        <v>818378.36</v>
      </c>
      <c r="O34" s="41">
        <f t="shared" ca="1" si="29"/>
        <v>64.122516107447225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8837033</v>
      </c>
      <c r="M37" s="55">
        <f t="shared" ca="1" si="33"/>
        <v>8945517</v>
      </c>
      <c r="N37" s="55">
        <f t="shared" ca="1" si="33"/>
        <v>3171006.59</v>
      </c>
      <c r="O37" s="56">
        <f t="shared" ca="1" si="29"/>
        <v>35.883158861124542</v>
      </c>
      <c r="P37" s="56">
        <f t="shared" ca="1" si="25"/>
        <v>35.447996912867083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651800</v>
      </c>
      <c r="M41" s="79">
        <f t="shared" ca="1" si="34"/>
        <v>683800</v>
      </c>
      <c r="N41" s="79">
        <f t="shared" ca="1" si="34"/>
        <v>553849.54</v>
      </c>
      <c r="O41" s="78">
        <f t="shared" ref="O41:O43" ca="1" si="35">IF(L41&gt;0,N41*100/L41,0)</f>
        <v>84.972313593126728</v>
      </c>
      <c r="P41" s="78">
        <f t="shared" ref="P41:P43" ca="1" si="36">IF(M41&gt;0,N41*100/M41,0)</f>
        <v>80.995837964317047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651800</v>
      </c>
      <c r="M43" s="79">
        <f t="shared" ca="1" si="38"/>
        <v>683800</v>
      </c>
      <c r="N43" s="79">
        <f t="shared" ca="1" si="38"/>
        <v>553849.54</v>
      </c>
      <c r="O43" s="78">
        <f t="shared" ca="1" si="35"/>
        <v>84.972313593126728</v>
      </c>
      <c r="P43" s="78">
        <f t="shared" ca="1" si="36"/>
        <v>80.995837964317047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651800</v>
      </c>
      <c r="M45" s="91">
        <f ca="1">IFERROR(__xludf.DUMMYFUNCTION("IMPORTRANGE(""https://docs.google.com/spreadsheets/d/1Yj_ptqi66GCucihVvJfMjLAmec39IyEx_6qawtMGysU/edit?usp=sharing"",""สบก!Q81"")"),683800)</f>
        <v>683800</v>
      </c>
      <c r="N45" s="91">
        <f ca="1">IFERROR(__xludf.DUMMYFUNCTION("IMPORTRANGE(""https://docs.google.com/spreadsheets/d/1Yj_ptqi66GCucihVvJfMjLAmec39IyEx_6qawtMGysU/edit?usp=sharing"",""สบก!R81"")"),553849.54)</f>
        <v>553849.54</v>
      </c>
      <c r="O45" s="92">
        <f ca="1">IF(L45&gt;0,N45*100/L45,0)</f>
        <v>84.972313593126728</v>
      </c>
      <c r="P45" s="92">
        <f ca="1">IF(M45&gt;0,N45*100/M45,0)</f>
        <v>80.995837964317047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IFERROR(__xludf.DUMMYFUNCTION("IMPORTRANGE(""https://docs.google.com/spreadsheets/d/1Yj_ptqi66GCucihVvJfMjLAmec39IyEx_6qawtMGysU/edit?usp=sharing"",""สบก!M81"")"),651800)</f>
        <v>651800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548464</v>
      </c>
      <c r="N53" s="125">
        <f t="shared" ca="1" si="39"/>
        <v>458294.3</v>
      </c>
      <c r="O53" s="124">
        <f t="shared" ref="O53:O55" ca="1" si="40">IF(L53&gt;0,N53*100/L53,0)</f>
        <v>76.382383333333337</v>
      </c>
      <c r="P53" s="124">
        <f t="shared" ref="P53:P55" ca="1" si="41">IF(M53&gt;0,N53*100/M53,0)</f>
        <v>83.559595524956976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548464</v>
      </c>
      <c r="N55" s="125">
        <f t="shared" ca="1" si="43"/>
        <v>458294.3</v>
      </c>
      <c r="O55" s="124">
        <f t="shared" ca="1" si="40"/>
        <v>76.382383333333337</v>
      </c>
      <c r="P55" s="124">
        <f t="shared" ca="1" si="41"/>
        <v>83.559595524956976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IFERROR(__xludf.DUMMYFUNCTION("IMPORTRANGE(""https://docs.google.com/spreadsheets/d/1Yj_ptqi66GCucihVvJfMjLAmec39IyEx_6qawtMGysU/edit?usp=sharing"",""สบก!Z81"")"),548464)</f>
        <v>548464</v>
      </c>
      <c r="N57" s="91">
        <f ca="1">IFERROR(__xludf.DUMMYFUNCTION("IMPORTRANGE(""https://docs.google.com/spreadsheets/d/1Yj_ptqi66GCucihVvJfMjLAmec39IyEx_6qawtMGysU/edit?usp=sharing"",""สบก!AA81"")"),458294.3)</f>
        <v>458294.3</v>
      </c>
      <c r="O57" s="92">
        <f ca="1">IF(L57&gt;0,N57*100/L57,0)</f>
        <v>76.382383333333337</v>
      </c>
      <c r="P57" s="92">
        <f ca="1">IF(M57&gt;0,N57*100/M57,0)</f>
        <v>83.559595524956976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IFERROR(__xludf.DUMMYFUNCTION("IMPORTRANGE(""https://docs.google.com/spreadsheets/d/1Yj_ptqi66GCucihVvJfMjLAmec39IyEx_6qawtMGysU/edit?usp=sharing"",""สบก!V81"")"),600000)</f>
        <v>600000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692200</v>
      </c>
      <c r="M66" s="156">
        <f t="shared" ca="1" si="45"/>
        <v>706020</v>
      </c>
      <c r="N66" s="156">
        <f t="shared" ca="1" si="45"/>
        <v>559502.49</v>
      </c>
      <c r="O66" s="155">
        <f t="shared" ref="O66:O68" ca="1" si="46">IF(L66&gt;0,N66*100/L66,0)</f>
        <v>80.829599826639694</v>
      </c>
      <c r="P66" s="155">
        <f t="shared" ref="P66:P68" ca="1" si="47">IF(M66&gt;0,N66*100/M66,0)</f>
        <v>79.247399507096119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692200</v>
      </c>
      <c r="M68" s="161">
        <f t="shared" ca="1" si="49"/>
        <v>706020</v>
      </c>
      <c r="N68" s="161">
        <f t="shared" ca="1" si="49"/>
        <v>559502.49</v>
      </c>
      <c r="O68" s="160">
        <f t="shared" ca="1" si="46"/>
        <v>80.829599826639694</v>
      </c>
      <c r="P68" s="160">
        <f t="shared" ca="1" si="47"/>
        <v>79.247399507096119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692200</v>
      </c>
      <c r="M70" s="173">
        <f ca="1">IFERROR(__xludf.DUMMYFUNCTION("IMPORTRANGE(""https://docs.google.com/spreadsheets/d/1Yj_ptqi66GCucihVvJfMjLAmec39IyEx_6qawtMGysU/edit?usp=sharing"",""สบก!AI81"")"),706020)</f>
        <v>706020</v>
      </c>
      <c r="N70" s="174">
        <f ca="1">IFERROR(__xludf.DUMMYFUNCTION("IMPORTRANGE(""https://docs.google.com/spreadsheets/d/1Yj_ptqi66GCucihVvJfMjLAmec39IyEx_6qawtMGysU/edit?usp=sharing"",""สบก!AJ81"")"),559502.49)</f>
        <v>559502.49</v>
      </c>
      <c r="O70" s="175">
        <f ca="1">IF(L70&gt;0,N70*100/L70,0)</f>
        <v>80.829599826639694</v>
      </c>
      <c r="P70" s="175">
        <f ca="1">IF(M70&gt;0,N70*100/M70,0)</f>
        <v>79.247399507096119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IFERROR(__xludf.DUMMYFUNCTION("IMPORTRANGE(""https://docs.google.com/spreadsheets/d/1Yj_ptqi66GCucihVvJfMjLAmec39IyEx_6qawtMGysU/edit?usp=sharing"",""สบก!AE81"")"),320200)</f>
        <v>320200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IFERROR(__xludf.DUMMYFUNCTION("IMPORTRANGE(""https://docs.google.com/spreadsheets/d/1Yj_ptqi66GCucihVvJfMjLAmec39IyEx_6qawtMGysU/edit?usp=sharing"",""สบก!AF81"")"),372000)</f>
        <v>372000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IFERROR(__xludf.DUMMYFUNCTION("IMPORTRANGE(""https://docs.google.com/spreadsheets/d/1IYY_tgx_IHuhSq3AJ5eI5OnqOPBNLWSHKh2a30DoXe8/edit?usp=sharing"",""กระบี่!J16"")"),0)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IFERROR(__xludf.DUMMYFUNCTION("IMPORTRANGE(""https://docs.google.com/spreadsheets/d/1IYY_tgx_IHuhSq3AJ5eI5OnqOPBNLWSHKh2a30DoXe8/edit?usp=sharing"",""กระบี่!J17"")"),1)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IFERROR(__xludf.DUMMYFUNCTION("IMPORTRANGE(""https://docs.google.com/spreadsheets/d/1IYY_tgx_IHuhSq3AJ5eI5OnqOPBNLWSHKh2a30DoXe8/edit?usp=sharing"",""กระบี่!J18"")"),1)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IFERROR(__xludf.DUMMYFUNCTION("IMPORTRANGE(""https://docs.google.com/spreadsheets/d/1IYY_tgx_IHuhSq3AJ5eI5OnqOPBNLWSHKh2a30DoXe8/edit?usp=sharing"",""กระบี่!J19"")"),1)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IFERROR(__xludf.DUMMYFUNCTION("IMPORTRANGE(""https://docs.google.com/spreadsheets/d/1IYY_tgx_IHuhSq3AJ5eI5OnqOPBNLWSHKh2a30DoXe8/edit?usp=sharing"",""กระบี่!I20"")"),1)</f>
        <v>1</v>
      </c>
      <c r="J80" s="207">
        <f ca="1">IFERROR(__xludf.DUMMYFUNCTION("IMPORTRANGE(""https://docs.google.com/spreadsheets/d/1IYY_tgx_IHuhSq3AJ5eI5OnqOPBNLWSHKh2a30DoXe8/edit?usp=sharing"",""กระบี่!J20"")"),1)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IFERROR(__xludf.DUMMYFUNCTION("IMPORTRANGE(""https://docs.google.com/spreadsheets/d/1IYY_tgx_IHuhSq3AJ5eI5OnqOPBNLWSHKh2a30DoXe8/edit?usp=sharing"",""กระบี่!I21"")"),30)</f>
        <v>30</v>
      </c>
      <c r="J81" s="207">
        <f ca="1">IFERROR(__xludf.DUMMYFUNCTION("IMPORTRANGE(""https://docs.google.com/spreadsheets/d/1IYY_tgx_IHuhSq3AJ5eI5OnqOPBNLWSHKh2a30DoXe8/edit?usp=sharing"",""กระบี่!J21"")"),30)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IFERROR(__xludf.DUMMYFUNCTION("IMPORTRANGE(""https://docs.google.com/spreadsheets/d/1IYY_tgx_IHuhSq3AJ5eI5OnqOPBNLWSHKh2a30DoXe8/edit?usp=sharing"",""กระบี่!I22"")"),0)</f>
        <v>0</v>
      </c>
      <c r="J82" s="210">
        <f ca="1">IFERROR(__xludf.DUMMYFUNCTION("IMPORTRANGE(""https://docs.google.com/spreadsheets/d/1IYY_tgx_IHuhSq3AJ5eI5OnqOPBNLWSHKh2a30DoXe8/edit?usp=sharing"",""กระบี่!J22"")"),0)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IFERROR(__xludf.DUMMYFUNCTION("IMPORTRANGE(""https://docs.google.com/spreadsheets/d/1IYY_tgx_IHuhSq3AJ5eI5OnqOPBNLWSHKh2a30DoXe8/edit?usp=sharing"",""กระบี่!I23"")"),0)</f>
        <v>0</v>
      </c>
      <c r="J83" s="210">
        <f ca="1">IFERROR(__xludf.DUMMYFUNCTION("IMPORTRANGE(""https://docs.google.com/spreadsheets/d/1IYY_tgx_IHuhSq3AJ5eI5OnqOPBNLWSHKh2a30DoXe8/edit?usp=sharing"",""กระบี่!J23"")"),0)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IFERROR(__xludf.DUMMYFUNCTION("IMPORTRANGE(""https://docs.google.com/spreadsheets/d/1IYY_tgx_IHuhSq3AJ5eI5OnqOPBNLWSHKh2a30DoXe8/edit?usp=sharing"",""กระบี่!I24"")"),1)</f>
        <v>1</v>
      </c>
      <c r="J84" s="195">
        <f ca="1">IFERROR(__xludf.DUMMYFUNCTION("IMPORTRANGE(""https://docs.google.com/spreadsheets/d/1IYY_tgx_IHuhSq3AJ5eI5OnqOPBNLWSHKh2a30DoXe8/edit?usp=sharing"",""กระบี่!J24"")"),1)</f>
        <v>1</v>
      </c>
      <c r="K84" s="167">
        <f t="shared" ca="1" si="50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IFERROR(__xludf.DUMMYFUNCTION("IMPORTRANGE(""https://docs.google.com/spreadsheets/d/1IYY_tgx_IHuhSq3AJ5eI5OnqOPBNLWSHKh2a30DoXe8/edit?usp=sharing"",""กระบี่!I25"")"),30)</f>
        <v>30</v>
      </c>
      <c r="J85" s="195">
        <f ca="1">IFERROR(__xludf.DUMMYFUNCTION("IMPORTRANGE(""https://docs.google.com/spreadsheets/d/1IYY_tgx_IHuhSq3AJ5eI5OnqOPBNLWSHKh2a30DoXe8/edit?usp=sharing"",""กระบี่!J25"")"),30)</f>
        <v>30</v>
      </c>
      <c r="K85" s="167">
        <f t="shared" ca="1" si="50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IFERROR(__xludf.DUMMYFUNCTION("IMPORTRANGE(""https://docs.google.com/spreadsheets/d/1IYY_tgx_IHuhSq3AJ5eI5OnqOPBNLWSHKh2a30DoXe8/edit?usp=sharing"",""กระบี่!I26"")"),0)</f>
        <v>0</v>
      </c>
      <c r="J86" s="210">
        <f ca="1">IFERROR(__xludf.DUMMYFUNCTION("IMPORTRANGE(""https://docs.google.com/spreadsheets/d/1IYY_tgx_IHuhSq3AJ5eI5OnqOPBNLWSHKh2a30DoXe8/edit?usp=sharing"",""กระบี่!J26"")"),0)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IFERROR(__xludf.DUMMYFUNCTION("IMPORTRANGE(""https://docs.google.com/spreadsheets/d/1IYY_tgx_IHuhSq3AJ5eI5OnqOPBNLWSHKh2a30DoXe8/edit?usp=sharing"",""กระบี่!I27"")"),0)</f>
        <v>0</v>
      </c>
      <c r="J87" s="210">
        <f ca="1">IFERROR(__xludf.DUMMYFUNCTION("IMPORTRANGE(""https://docs.google.com/spreadsheets/d/1IYY_tgx_IHuhSq3AJ5eI5OnqOPBNLWSHKh2a30DoXe8/edit?usp=sharing"",""กระบี่!J27"")"),0)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IFERROR(__xludf.DUMMYFUNCTION("IMPORTRANGE(""https://docs.google.com/spreadsheets/d/1IYY_tgx_IHuhSq3AJ5eI5OnqOPBNLWSHKh2a30DoXe8/edit?usp=sharing"",""กระบี่!I28"")"),1)</f>
        <v>1</v>
      </c>
      <c r="J88" s="210">
        <f ca="1">IFERROR(__xludf.DUMMYFUNCTION("IMPORTRANGE(""https://docs.google.com/spreadsheets/d/1IYY_tgx_IHuhSq3AJ5eI5OnqOPBNLWSHKh2a30DoXe8/edit?usp=sharing"",""กระบี่!J28"")"),1)</f>
        <v>1</v>
      </c>
      <c r="K88" s="167">
        <f t="shared" ca="1" si="50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IFERROR(__xludf.DUMMYFUNCTION("IMPORTRANGE(""https://docs.google.com/spreadsheets/d/1IYY_tgx_IHuhSq3AJ5eI5OnqOPBNLWSHKh2a30DoXe8/edit?usp=sharing"",""กระบี่!J29"")"),0)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IFERROR(__xludf.DUMMYFUNCTION("IMPORTRANGE(""https://docs.google.com/spreadsheets/d/1IYY_tgx_IHuhSq3AJ5eI5OnqOPBNLWSHKh2a30DoXe8/edit?usp=sharing"",""กระบี่!J30"")"),0)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IFERROR(__xludf.DUMMYFUNCTION("IMPORTRANGE(""https://docs.google.com/spreadsheets/d/1Yj_ptqi66GCucihVvJfMjLAmec39IyEx_6qawtMGysU/edit?usp=sharing"",""สบก!AR81"")"),0)</f>
        <v>0</v>
      </c>
      <c r="N98" s="174">
        <f ca="1">IFERROR(__xludf.DUMMYFUNCTION("IMPORTRANGE(""https://docs.google.com/spreadsheets/d/1Yj_ptqi66GCucihVvJfMjLAmec39IyEx_6qawtMGysU/edit?usp=sharing"",""สบก!AS81"")"),0)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IFERROR(__xludf.DUMMYFUNCTION("IMPORTRANGE(""https://docs.google.com/spreadsheets/d/1Yj_ptqi66GCucihVvJfMjLAmec39IyEx_6qawtMGysU/edit?usp=sharing"",""สบก!AO81"")"),0)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IFERROR(__xludf.DUMMYFUNCTION("IMPORTRANGE(""https://docs.google.com/spreadsheets/d/1IYY_tgx_IHuhSq3AJ5eI5OnqOPBNLWSHKh2a30DoXe8/edit?usp=sharing"",""กระบี่!J39"")"),0)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IFERROR(__xludf.DUMMYFUNCTION("IMPORTRANGE(""https://docs.google.com/spreadsheets/d/1IYY_tgx_IHuhSq3AJ5eI5OnqOPBNLWSHKh2a30DoXe8/edit?usp=sharing"",""กระบี่!J40"")"),0)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IFERROR(__xludf.DUMMYFUNCTION("IMPORTRANGE(""https://docs.google.com/spreadsheets/d/1IYY_tgx_IHuhSq3AJ5eI5OnqOPBNLWSHKh2a30DoXe8/edit?usp=sharing"",""กระบี่!J41"")"),0)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IFERROR(__xludf.DUMMYFUNCTION("IMPORTRANGE(""https://docs.google.com/spreadsheets/d/1IYY_tgx_IHuhSq3AJ5eI5OnqOPBNLWSHKh2a30DoXe8/edit?usp=sharing"",""กระบี่!J42"")"),0)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IFERROR(__xludf.DUMMYFUNCTION("IMPORTRANGE(""https://docs.google.com/spreadsheets/d/1IYY_tgx_IHuhSq3AJ5eI5OnqOPBNLWSHKh2a30DoXe8/edit?usp=sharing"",""กระบี่!I43"")"),0)</f>
        <v>0</v>
      </c>
      <c r="J108" s="210">
        <f ca="1">IFERROR(__xludf.DUMMYFUNCTION("IMPORTRANGE(""https://docs.google.com/spreadsheets/d/1IYY_tgx_IHuhSq3AJ5eI5OnqOPBNLWSHKh2a30DoXe8/edit?usp=sharing"",""กระบี่!J43"")"),0)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IFERROR(__xludf.DUMMYFUNCTION("IMPORTRANGE(""https://docs.google.com/spreadsheets/d/1IYY_tgx_IHuhSq3AJ5eI5OnqOPBNLWSHKh2a30DoXe8/edit?usp=sharing"",""กระบี่!I44"")"),0)</f>
        <v>0</v>
      </c>
      <c r="J109" s="210">
        <f ca="1">IFERROR(__xludf.DUMMYFUNCTION("IMPORTRANGE(""https://docs.google.com/spreadsheets/d/1IYY_tgx_IHuhSq3AJ5eI5OnqOPBNLWSHKh2a30DoXe8/edit?usp=sharing"",""กระบี่!J44"")"),0)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IFERROR(__xludf.DUMMYFUNCTION("IMPORTRANGE(""https://docs.google.com/spreadsheets/d/1IYY_tgx_IHuhSq3AJ5eI5OnqOPBNLWSHKh2a30DoXe8/edit?usp=sharing"",""กระบี่!I45"")"),0)</f>
        <v>0</v>
      </c>
      <c r="J110" s="210">
        <f ca="1">IFERROR(__xludf.DUMMYFUNCTION("IMPORTRANGE(""https://docs.google.com/spreadsheets/d/1IYY_tgx_IHuhSq3AJ5eI5OnqOPBNLWSHKh2a30DoXe8/edit?usp=sharing"",""กระบี่!J45"")"),0)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IFERROR(__xludf.DUMMYFUNCTION("IMPORTRANGE(""https://docs.google.com/spreadsheets/d/1IYY_tgx_IHuhSq3AJ5eI5OnqOPBNLWSHKh2a30DoXe8/edit?usp=sharing"",""กระบี่!I46"")"),0)</f>
        <v>0</v>
      </c>
      <c r="J111" s="210">
        <f ca="1">IFERROR(__xludf.DUMMYFUNCTION("IMPORTRANGE(""https://docs.google.com/spreadsheets/d/1IYY_tgx_IHuhSq3AJ5eI5OnqOPBNLWSHKh2a30DoXe8/edit?usp=sharing"",""กระบี่!J46"")"),0)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IFERROR(__xludf.DUMMYFUNCTION("IMPORTRANGE(""https://docs.google.com/spreadsheets/d/1IYY_tgx_IHuhSq3AJ5eI5OnqOPBNLWSHKh2a30DoXe8/edit?usp=sharing"",""กระบี่!I47"")"),0)</f>
        <v>0</v>
      </c>
      <c r="J112" s="210">
        <f ca="1">IFERROR(__xludf.DUMMYFUNCTION("IMPORTRANGE(""https://docs.google.com/spreadsheets/d/1IYY_tgx_IHuhSq3AJ5eI5OnqOPBNLWSHKh2a30DoXe8/edit?usp=sharing"",""กระบี่!J47"")"),0)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IFERROR(__xludf.DUMMYFUNCTION("IMPORTRANGE(""https://docs.google.com/spreadsheets/d/1IYY_tgx_IHuhSq3AJ5eI5OnqOPBNLWSHKh2a30DoXe8/edit?usp=sharing"",""กระบี่!I48"")"),0)</f>
        <v>0</v>
      </c>
      <c r="J113" s="210">
        <f ca="1">IFERROR(__xludf.DUMMYFUNCTION("IMPORTRANGE(""https://docs.google.com/spreadsheets/d/1IYY_tgx_IHuhSq3AJ5eI5OnqOPBNLWSHKh2a30DoXe8/edit?usp=sharing"",""กระบี่!J48"")"),0)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IFERROR(__xludf.DUMMYFUNCTION("IMPORTRANGE(""https://docs.google.com/spreadsheets/d/1IYY_tgx_IHuhSq3AJ5eI5OnqOPBNLWSHKh2a30DoXe8/edit?usp=sharing"",""กระบี่!J49"")"),0)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IFERROR(__xludf.DUMMYFUNCTION("IMPORTRANGE(""https://docs.google.com/spreadsheets/d/1IYY_tgx_IHuhSq3AJ5eI5OnqOPBNLWSHKh2a30DoXe8/edit?usp=sharing"",""กระบี่!J50"")"),0)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23078</v>
      </c>
      <c r="M118" s="156">
        <f t="shared" ca="1" si="58"/>
        <v>23078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23078</v>
      </c>
      <c r="M120" s="161">
        <f t="shared" ca="1" si="62"/>
        <v>23078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23078</v>
      </c>
      <c r="M122" s="173">
        <f ca="1">IFERROR(__xludf.DUMMYFUNCTION("IMPORTRANGE(""https://docs.google.com/spreadsheets/d/1Yj_ptqi66GCucihVvJfMjLAmec39IyEx_6qawtMGysU/edit?usp=sharing"",""สบก!BA81"")"),23078)</f>
        <v>23078</v>
      </c>
      <c r="N122" s="174">
        <f ca="1">IFERROR(__xludf.DUMMYFUNCTION("IMPORTRANGE(""https://docs.google.com/spreadsheets/d/1Yj_ptqi66GCucihVvJfMjLAmec39IyEx_6qawtMGysU/edit?usp=sharing"",""สบก!BB81"")"),0)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IFERROR(__xludf.DUMMYFUNCTION("IMPORTRANGE(""https://docs.google.com/spreadsheets/d/1Yj_ptqi66GCucihVvJfMjLAmec39IyEx_6qawtMGysU/edit?usp=sharing"",""สบก!AX81"")"),23078)</f>
        <v>23078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IFERROR(__xludf.DUMMYFUNCTION("IMPORTRANGE(""https://docs.google.com/spreadsheets/d/1IYY_tgx_IHuhSq3AJ5eI5OnqOPBNLWSHKh2a30DoXe8/edit?usp=sharing"",""กระบี่!J58"")"),0)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IFERROR(__xludf.DUMMYFUNCTION("IMPORTRANGE(""https://docs.google.com/spreadsheets/d/1IYY_tgx_IHuhSq3AJ5eI5OnqOPBNLWSHKh2a30DoXe8/edit?usp=sharing"",""กระบี่!J59"")"),0)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IFERROR(__xludf.DUMMYFUNCTION("IMPORTRANGE(""https://docs.google.com/spreadsheets/d/1IYY_tgx_IHuhSq3AJ5eI5OnqOPBNLWSHKh2a30DoXe8/edit?usp=sharing"",""กระบี่!J60"")"),0)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IFERROR(__xludf.DUMMYFUNCTION("IMPORTRANGE(""https://docs.google.com/spreadsheets/d/1IYY_tgx_IHuhSq3AJ5eI5OnqOPBNLWSHKh2a30DoXe8/edit?usp=sharing"",""กระบี่!J61"")"),0)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IFERROR(__xludf.DUMMYFUNCTION("IMPORTRANGE(""https://docs.google.com/spreadsheets/d/1IYY_tgx_IHuhSq3AJ5eI5OnqOPBNLWSHKh2a30DoXe8/edit?usp=sharing"",""กระบี่!I62"")"),0)</f>
        <v>0</v>
      </c>
      <c r="J132" s="210">
        <f ca="1">IFERROR(__xludf.DUMMYFUNCTION("IMPORTRANGE(""https://docs.google.com/spreadsheets/d/1IYY_tgx_IHuhSq3AJ5eI5OnqOPBNLWSHKh2a30DoXe8/edit?usp=sharing"",""กระบี่!J62"")"),0)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IFERROR(__xludf.DUMMYFUNCTION("IMPORTRANGE(""https://docs.google.com/spreadsheets/d/1IYY_tgx_IHuhSq3AJ5eI5OnqOPBNLWSHKh2a30DoXe8/edit?usp=sharing"",""กระบี่!I63"")"),0)</f>
        <v>0</v>
      </c>
      <c r="J133" s="210">
        <f ca="1">IFERROR(__xludf.DUMMYFUNCTION("IMPORTRANGE(""https://docs.google.com/spreadsheets/d/1IYY_tgx_IHuhSq3AJ5eI5OnqOPBNLWSHKh2a30DoXe8/edit?usp=sharing"",""กระบี่!J63"")"),0)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IFERROR(__xludf.DUMMYFUNCTION("IMPORTRANGE(""https://docs.google.com/spreadsheets/d/1IYY_tgx_IHuhSq3AJ5eI5OnqOPBNLWSHKh2a30DoXe8/edit?usp=sharing"",""กระบี่!J64"")"),0)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IFERROR(__xludf.DUMMYFUNCTION("IMPORTRANGE(""https://docs.google.com/spreadsheets/d/1IYY_tgx_IHuhSq3AJ5eI5OnqOPBNLWSHKh2a30DoXe8/edit?usp=sharing"",""กระบี่!J65"")"),0)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IFERROR(__xludf.DUMMYFUNCTION("IMPORTRANGE(""https://docs.google.com/spreadsheets/d/1IYY_tgx_IHuhSq3AJ5eI5OnqOPBNLWSHKh2a30DoXe8/edit?usp=sharing"",""กระบี่!I68"")"),15)</f>
        <v>15</v>
      </c>
      <c r="J138" s="273">
        <f ca="1">IFERROR(__xludf.DUMMYFUNCTION("IMPORTRANGE(""https://docs.google.com/spreadsheets/d/1IYY_tgx_IHuhSq3AJ5eI5OnqOPBNLWSHKh2a30DoXe8/edit?usp=sharing"",""กระบี่!J68"")"),15)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70000</v>
      </c>
      <c r="M140" s="156">
        <f t="shared" ca="1" si="64"/>
        <v>70000</v>
      </c>
      <c r="N140" s="156">
        <f t="shared" ca="1" si="64"/>
        <v>61712</v>
      </c>
      <c r="O140" s="155">
        <f t="shared" ref="O140:O142" ca="1" si="65">IF(L140&gt;0,N140*100/L140,0)</f>
        <v>88.16</v>
      </c>
      <c r="P140" s="155">
        <f t="shared" ref="P140:P142" ca="1" si="66">IF(M140&gt;0,N140*100/M140,0)</f>
        <v>88.16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70000</v>
      </c>
      <c r="M142" s="161">
        <f t="shared" ca="1" si="68"/>
        <v>70000</v>
      </c>
      <c r="N142" s="161">
        <f t="shared" ca="1" si="68"/>
        <v>61712</v>
      </c>
      <c r="O142" s="160">
        <f t="shared" ca="1" si="65"/>
        <v>88.16</v>
      </c>
      <c r="P142" s="160">
        <f t="shared" ca="1" si="66"/>
        <v>88.16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70000</v>
      </c>
      <c r="M144" s="173">
        <f ca="1">IFERROR(__xludf.DUMMYFUNCTION("IMPORTRANGE(""https://docs.google.com/spreadsheets/d/1Yj_ptqi66GCucihVvJfMjLAmec39IyEx_6qawtMGysU/edit?usp=sharing"",""สบก!BJ81"")"),70000)</f>
        <v>70000</v>
      </c>
      <c r="N144" s="174">
        <f ca="1">IFERROR(__xludf.DUMMYFUNCTION("IMPORTRANGE(""https://docs.google.com/spreadsheets/d/1Yj_ptqi66GCucihVvJfMjLAmec39IyEx_6qawtMGysU/edit?usp=sharing"",""สบก!BK81"")"),61712)</f>
        <v>61712</v>
      </c>
      <c r="O144" s="175">
        <f ca="1">IF(L144&gt;0,N144*100/L144,0)</f>
        <v>88.16</v>
      </c>
      <c r="P144" s="175">
        <f ca="1">IF(M144&gt;0,N144*100/M144,0)</f>
        <v>88.16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IFERROR(__xludf.DUMMYFUNCTION("IMPORTRANGE(""https://docs.google.com/spreadsheets/d/1Yj_ptqi66GCucihVvJfMjLAmec39IyEx_6qawtMGysU/edit?usp=sharing"",""สบก!BG81"")"),70000)</f>
        <v>70000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IFERROR(__xludf.DUMMYFUNCTION("IMPORTRANGE(""https://docs.google.com/spreadsheets/d/1IYY_tgx_IHuhSq3AJ5eI5OnqOPBNLWSHKh2a30DoXe8/edit?usp=sharing"",""กระบี่!I74"")"),4)</f>
        <v>4</v>
      </c>
      <c r="J149" s="281">
        <f ca="1">IFERROR(__xludf.DUMMYFUNCTION("IMPORTRANGE(""https://docs.google.com/spreadsheets/d/1IYY_tgx_IHuhSq3AJ5eI5OnqOPBNLWSHKh2a30DoXe8/edit?usp=sharing"",""กระบี่!J74"")"),3)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IFERROR(__xludf.DUMMYFUNCTION("IMPORTRANGE(""https://docs.google.com/spreadsheets/d/1IYY_tgx_IHuhSq3AJ5eI5OnqOPBNLWSHKh2a30DoXe8/edit?usp=sharing"",""กระบี่!J79"")"),0)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IFERROR(__xludf.DUMMYFUNCTION("IMPORTRANGE(""https://docs.google.com/spreadsheets/d/1IYY_tgx_IHuhSq3AJ5eI5OnqOPBNLWSHKh2a30DoXe8/edit?usp=sharing"",""กระบี่!J80"")"),1)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IFERROR(__xludf.DUMMYFUNCTION("IMPORTRANGE(""https://docs.google.com/spreadsheets/d/1IYY_tgx_IHuhSq3AJ5eI5OnqOPBNLWSHKh2a30DoXe8/edit?usp=sharing"",""กระบี่!J81"")"),1)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IFERROR(__xludf.DUMMYFUNCTION("IMPORTRANGE(""https://docs.google.com/spreadsheets/d/1IYY_tgx_IHuhSq3AJ5eI5OnqOPBNLWSHKh2a30DoXe8/edit?usp=sharing"",""กระบี่!J82"")"),1)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IFERROR(__xludf.DUMMYFUNCTION("IMPORTRANGE(""https://docs.google.com/spreadsheets/d/1IYY_tgx_IHuhSq3AJ5eI5OnqOPBNLWSHKh2a30DoXe8/edit?usp=sharing"",""กระบี่!I83"")"),4)</f>
        <v>4</v>
      </c>
      <c r="J158" s="195">
        <f ca="1">IFERROR(__xludf.DUMMYFUNCTION("IMPORTRANGE(""https://docs.google.com/spreadsheets/d/1IYY_tgx_IHuhSq3AJ5eI5OnqOPBNLWSHKh2a30DoXe8/edit?usp=sharing"",""กระบี่!J83"")"),3)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IFERROR(__xludf.DUMMYFUNCTION("IMPORTRANGE(""https://docs.google.com/spreadsheets/d/1IYY_tgx_IHuhSq3AJ5eI5OnqOPBNLWSHKh2a30DoXe8/edit?usp=sharing"",""กระบี่!J84"")"),37)</f>
        <v>37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IFERROR(__xludf.DUMMYFUNCTION("IMPORTRANGE(""https://docs.google.com/spreadsheets/d/1IYY_tgx_IHuhSq3AJ5eI5OnqOPBNLWSHKh2a30DoXe8/edit?usp=sharing"",""กระบี่!J85"")"),37)</f>
        <v>37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IFERROR(__xludf.DUMMYFUNCTION("IMPORTRANGE(""https://docs.google.com/spreadsheets/d/1IYY_tgx_IHuhSq3AJ5eI5OnqOPBNLWSHKh2a30DoXe8/edit?usp=sharing"",""กระบี่!J87"")"),0)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IFERROR(__xludf.DUMMYFUNCTION("IMPORTRANGE(""https://docs.google.com/spreadsheets/d/1IYY_tgx_IHuhSq3AJ5eI5OnqOPBNLWSHKh2a30DoXe8/edit?usp=sharing"",""กระบี่!J88"")"),0)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IFERROR(__xludf.DUMMYFUNCTION("IMPORTRANGE(""https://docs.google.com/spreadsheets/d/1IYY_tgx_IHuhSq3AJ5eI5OnqOPBNLWSHKh2a30DoXe8/edit?usp=sharing"",""กระบี่!J94"")"),0)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IFERROR(__xludf.DUMMYFUNCTION("IMPORTRANGE(""https://docs.google.com/spreadsheets/d/1IYY_tgx_IHuhSq3AJ5eI5OnqOPBNLWSHKh2a30DoXe8/edit?usp=sharing"",""กระบี่!J95"")"),0)</f>
        <v>0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IFERROR(__xludf.DUMMYFUNCTION("IMPORTRANGE(""https://docs.google.com/spreadsheets/d/1IYY_tgx_IHuhSq3AJ5eI5OnqOPBNLWSHKh2a30DoXe8/edit?usp=sharing"",""กระบี่!J96"")"),1)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IFERROR(__xludf.DUMMYFUNCTION("IMPORTRANGE(""https://docs.google.com/spreadsheets/d/1IYY_tgx_IHuhSq3AJ5eI5OnqOPBNLWSHKh2a30DoXe8/edit?usp=sharing"",""กระบี่!J97"")"),1)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IFERROR(__xludf.DUMMYFUNCTION("IMPORTRANGE(""https://docs.google.com/spreadsheets/d/1IYY_tgx_IHuhSq3AJ5eI5OnqOPBNLWSHKh2a30DoXe8/edit?usp=sharing"",""กระบี่!I98"")"),2)</f>
        <v>2</v>
      </c>
      <c r="J173" s="195">
        <f ca="1">IFERROR(__xludf.DUMMYFUNCTION("IMPORTRANGE(""https://docs.google.com/spreadsheets/d/1IYY_tgx_IHuhSq3AJ5eI5OnqOPBNLWSHKh2a30DoXe8/edit?usp=sharing"",""กระบี่!J98"")"),2)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IFERROR(__xludf.DUMMYFUNCTION("IMPORTRANGE(""https://docs.google.com/spreadsheets/d/1IYY_tgx_IHuhSq3AJ5eI5OnqOPBNLWSHKh2a30DoXe8/edit?usp=sharing"",""กระบี่!J99"")"),1)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IFERROR(__xludf.DUMMYFUNCTION("IMPORTRANGE(""https://docs.google.com/spreadsheets/d/1IYY_tgx_IHuhSq3AJ5eI5OnqOPBNLWSHKh2a30DoXe8/edit?usp=sharing"",""กระบี่!J100"")"),1)</f>
        <v>1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IFERROR(__xludf.DUMMYFUNCTION("IMPORTRANGE(""https://docs.google.com/spreadsheets/d/1IYY_tgx_IHuhSq3AJ5eI5OnqOPBNLWSHKh2a30DoXe8/edit?usp=sharing"",""กระบี่!J106"")"),0)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IFERROR(__xludf.DUMMYFUNCTION("IMPORTRANGE(""https://docs.google.com/spreadsheets/d/1IYY_tgx_IHuhSq3AJ5eI5OnqOPBNLWSHKh2a30DoXe8/edit?usp=sharing"",""กระบี่!J107"")"),0)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IFERROR(__xludf.DUMMYFUNCTION("IMPORTRANGE(""https://docs.google.com/spreadsheets/d/1IYY_tgx_IHuhSq3AJ5eI5OnqOPBNLWSHKh2a30DoXe8/edit?usp=sharing"",""กระบี่!J108"")"),0)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IFERROR(__xludf.DUMMYFUNCTION("IMPORTRANGE(""https://docs.google.com/spreadsheets/d/1IYY_tgx_IHuhSq3AJ5eI5OnqOPBNLWSHKh2a30DoXe8/edit?usp=sharing"",""กระบี่!J109"")"),0)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IFERROR(__xludf.DUMMYFUNCTION("IMPORTRANGE(""https://docs.google.com/spreadsheets/d/1IYY_tgx_IHuhSq3AJ5eI5OnqOPBNLWSHKh2a30DoXe8/edit?usp=sharing"",""กระบี่!I110"")"),0)</f>
        <v>0</v>
      </c>
      <c r="J185" s="210">
        <f ca="1">IFERROR(__xludf.DUMMYFUNCTION("IMPORTRANGE(""https://docs.google.com/spreadsheets/d/1IYY_tgx_IHuhSq3AJ5eI5OnqOPBNLWSHKh2a30DoXe8/edit?usp=sharing"",""กระบี่!J110"")"),0)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IFERROR(__xludf.DUMMYFUNCTION("IMPORTRANGE(""https://docs.google.com/spreadsheets/d/1IYY_tgx_IHuhSq3AJ5eI5OnqOPBNLWSHKh2a30DoXe8/edit?usp=sharing"",""กระบี่!I111"")"),0)</f>
        <v>0</v>
      </c>
      <c r="J186" s="210">
        <f ca="1">IFERROR(__xludf.DUMMYFUNCTION("IMPORTRANGE(""https://docs.google.com/spreadsheets/d/1IYY_tgx_IHuhSq3AJ5eI5OnqOPBNLWSHKh2a30DoXe8/edit?usp=sharing"",""กระบี่!J111"")"),0)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IFERROR(__xludf.DUMMYFUNCTION("IMPORTRANGE(""https://docs.google.com/spreadsheets/d/1IYY_tgx_IHuhSq3AJ5eI5OnqOPBNLWSHKh2a30DoXe8/edit?usp=sharing"",""กระบี่!J112"")"),0)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IFERROR(__xludf.DUMMYFUNCTION("IMPORTRANGE(""https://docs.google.com/spreadsheets/d/1IYY_tgx_IHuhSq3AJ5eI5OnqOPBNLWSHKh2a30DoXe8/edit?usp=sharing"",""กระบี่!J113"")"),0)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IFERROR(__xludf.DUMMYFUNCTION("IMPORTRANGE(""https://docs.google.com/spreadsheets/d/1IYY_tgx_IHuhSq3AJ5eI5OnqOPBNLWSHKh2a30DoXe8/edit?usp=sharing"",""กระบี่!J114"")"),50000)</f>
        <v>50000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IFERROR(__xludf.DUMMYFUNCTION("IMPORTRANGE(""https://docs.google.com/spreadsheets/d/1IYY_tgx_IHuhSq3AJ5eI5OnqOPBNLWSHKh2a30DoXe8/edit?usp=sharing"",""กระบี่!J119"")"),0)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IFERROR(__xludf.DUMMYFUNCTION("IMPORTRANGE(""https://docs.google.com/spreadsheets/d/1IYY_tgx_IHuhSq3AJ5eI5OnqOPBNLWSHKh2a30DoXe8/edit?usp=sharing"",""กระบี่!J120"")"),1)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IFERROR(__xludf.DUMMYFUNCTION("IMPORTRANGE(""https://docs.google.com/spreadsheets/d/1IYY_tgx_IHuhSq3AJ5eI5OnqOPBNLWSHKh2a30DoXe8/edit?usp=sharing"",""กระบี่!J121"")"),1)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IFERROR(__xludf.DUMMYFUNCTION("IMPORTRANGE(""https://docs.google.com/spreadsheets/d/1IYY_tgx_IHuhSq3AJ5eI5OnqOPBNLWSHKh2a30DoXe8/edit?usp=sharing"",""กระบี่!J122"")"),0)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IFERROR(__xludf.DUMMYFUNCTION("IMPORTRANGE(""https://docs.google.com/spreadsheets/d/1IYY_tgx_IHuhSq3AJ5eI5OnqOPBNLWSHKh2a30DoXe8/edit?usp=sharing"",""กระบี่!I124"")"),50000)</f>
        <v>50000</v>
      </c>
      <c r="J199" s="195">
        <f ca="1">IFERROR(__xludf.DUMMYFUNCTION("IMPORTRANGE(""https://docs.google.com/spreadsheets/d/1IYY_tgx_IHuhSq3AJ5eI5OnqOPBNLWSHKh2a30DoXe8/edit?usp=sharing"",""กระบี่!J124"")"),50000)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IFERROR(__xludf.DUMMYFUNCTION("IMPORTRANGE(""https://docs.google.com/spreadsheets/d/1IYY_tgx_IHuhSq3AJ5eI5OnqOPBNLWSHKh2a30DoXe8/edit?usp=sharing"",""กระบี่!I125"")"),50000)</f>
        <v>50000</v>
      </c>
      <c r="J200" s="195">
        <f ca="1">IFERROR(__xludf.DUMMYFUNCTION("IMPORTRANGE(""https://docs.google.com/spreadsheets/d/1IYY_tgx_IHuhSq3AJ5eI5OnqOPBNLWSHKh2a30DoXe8/edit?usp=sharing"",""กระบี่!J125"")"),50000)</f>
        <v>50000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IFERROR(__xludf.DUMMYFUNCTION("IMPORTRANGE(""https://docs.google.com/spreadsheets/d/1IYY_tgx_IHuhSq3AJ5eI5OnqOPBNLWSHKh2a30DoXe8/edit?usp=sharing"",""กระบี่!I126"")"),15)</f>
        <v>15</v>
      </c>
      <c r="J201" s="195">
        <f ca="1">IFERROR(__xludf.DUMMYFUNCTION("IMPORTRANGE(""https://docs.google.com/spreadsheets/d/1IYY_tgx_IHuhSq3AJ5eI5OnqOPBNLWSHKh2a30DoXe8/edit?usp=sharing"",""กระบี่!J126"")"),15)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IFERROR(__xludf.DUMMYFUNCTION("IMPORTRANGE(""https://docs.google.com/spreadsheets/d/1IYY_tgx_IHuhSq3AJ5eI5OnqOPBNLWSHKh2a30DoXe8/edit?usp=sharing"",""กระบี่!J127"")"),1)</f>
        <v>1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IFERROR(__xludf.DUMMYFUNCTION("IMPORTRANGE(""https://docs.google.com/spreadsheets/d/1IYY_tgx_IHuhSq3AJ5eI5OnqOPBNLWSHKh2a30DoXe8/edit?usp=sharing"",""กระบี่!J128"")"),1)</f>
        <v>1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IFERROR(__xludf.DUMMYFUNCTION("IMPORTRANGE(""https://docs.google.com/spreadsheets/d/1IYY_tgx_IHuhSq3AJ5eI5OnqOPBNLWSHKh2a30DoXe8/edit?usp=sharing"",""กระบี่!J134"")"),0)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IFERROR(__xludf.DUMMYFUNCTION("IMPORTRANGE(""https://docs.google.com/spreadsheets/d/1IYY_tgx_IHuhSq3AJ5eI5OnqOPBNLWSHKh2a30DoXe8/edit?usp=sharing"",""กระบี่!J135"")"),0)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IFERROR(__xludf.DUMMYFUNCTION("IMPORTRANGE(""https://docs.google.com/spreadsheets/d/1IYY_tgx_IHuhSq3AJ5eI5OnqOPBNLWSHKh2a30DoXe8/edit?usp=sharing"",""กระบี่!J136"")"),0)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IFERROR(__xludf.DUMMYFUNCTION("IMPORTRANGE(""https://docs.google.com/spreadsheets/d/1IYY_tgx_IHuhSq3AJ5eI5OnqOPBNLWSHKh2a30DoXe8/edit?usp=sharing"",""กระบี่!J137"")"),0)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IFERROR(__xludf.DUMMYFUNCTION("IMPORTRANGE(""https://docs.google.com/spreadsheets/d/1IYY_tgx_IHuhSq3AJ5eI5OnqOPBNLWSHKh2a30DoXe8/edit?usp=sharing"",""กระบี่!I138"")"),0)</f>
        <v>0</v>
      </c>
      <c r="J213" s="210">
        <f ca="1">IFERROR(__xludf.DUMMYFUNCTION("IMPORTRANGE(""https://docs.google.com/spreadsheets/d/1IYY_tgx_IHuhSq3AJ5eI5OnqOPBNLWSHKh2a30DoXe8/edit?usp=sharing"",""กระบี่!J138"")"),0)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IFERROR(__xludf.DUMMYFUNCTION("IMPORTRANGE(""https://docs.google.com/spreadsheets/d/1IYY_tgx_IHuhSq3AJ5eI5OnqOPBNLWSHKh2a30DoXe8/edit?usp=sharing"",""กระบี่!I140"")"),0)</f>
        <v>0</v>
      </c>
      <c r="J215" s="210">
        <f ca="1">IFERROR(__xludf.DUMMYFUNCTION("IMPORTRANGE(""https://docs.google.com/spreadsheets/d/1IYY_tgx_IHuhSq3AJ5eI5OnqOPBNLWSHKh2a30DoXe8/edit?usp=sharing"",""กระบี่!J140"")"),0)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IFERROR(__xludf.DUMMYFUNCTION("IMPORTRANGE(""https://docs.google.com/spreadsheets/d/1IYY_tgx_IHuhSq3AJ5eI5OnqOPBNLWSHKh2a30DoXe8/edit?usp=sharing"",""กระบี่!I141"")"),0)</f>
        <v>0</v>
      </c>
      <c r="J216" s="210">
        <f ca="1">IFERROR(__xludf.DUMMYFUNCTION("IMPORTRANGE(""https://docs.google.com/spreadsheets/d/1IYY_tgx_IHuhSq3AJ5eI5OnqOPBNLWSHKh2a30DoXe8/edit?usp=sharing"",""กระบี่!J141"")"),0)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IFERROR(__xludf.DUMMYFUNCTION("IMPORTRANGE(""https://docs.google.com/spreadsheets/d/1IYY_tgx_IHuhSq3AJ5eI5OnqOPBNLWSHKh2a30DoXe8/edit?usp=sharing"",""กระบี่!J142"")"),0)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IFERROR(__xludf.DUMMYFUNCTION("IMPORTRANGE(""https://docs.google.com/spreadsheets/d/1IYY_tgx_IHuhSq3AJ5eI5OnqOPBNLWSHKh2a30DoXe8/edit?usp=sharing"",""กระบี่!J143"")"),0)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IFERROR(__xludf.DUMMYFUNCTION("IMPORTRANGE(""https://docs.google.com/spreadsheets/d/1IYY_tgx_IHuhSq3AJ5eI5OnqOPBNLWSHKh2a30DoXe8/edit?usp=sharing"",""กระบี่!I144"")"),13)</f>
        <v>13</v>
      </c>
      <c r="J219" s="273">
        <f ca="1">IFERROR(__xludf.DUMMYFUNCTION("IMPORTRANGE(""https://docs.google.com/spreadsheets/d/1IYY_tgx_IHuhSq3AJ5eI5OnqOPBNLWSHKh2a30DoXe8/edit?usp=sharing"",""กระบี่!J144"")"),13)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IFERROR(__xludf.DUMMYFUNCTION("IMPORTRANGE(""https://docs.google.com/spreadsheets/d/1Yj_ptqi66GCucihVvJfMjLAmec39IyEx_6qawtMGysU/edit?usp=sharing"",""สบก!BS81"")"),19295)</f>
        <v>19295</v>
      </c>
      <c r="N224" s="174">
        <f ca="1">IFERROR(__xludf.DUMMYFUNCTION("IMPORTRANGE(""https://docs.google.com/spreadsheets/d/1Yj_ptqi66GCucihVvJfMjLAmec39IyEx_6qawtMGysU/edit?usp=sharing"",""สบก!BT81"")"),19295)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IFERROR(__xludf.DUMMYFUNCTION("IMPORTRANGE(""https://docs.google.com/spreadsheets/d/1IYY_tgx_IHuhSq3AJ5eI5OnqOPBNLWSHKh2a30DoXe8/edit?usp=sharing"",""กระบี่!I149"")"),13)</f>
        <v>13</v>
      </c>
      <c r="J229" s="273">
        <f ca="1">IFERROR(__xludf.DUMMYFUNCTION("IMPORTRANGE(""https://docs.google.com/spreadsheets/d/1IYY_tgx_IHuhSq3AJ5eI5OnqOPBNLWSHKh2a30DoXe8/edit?usp=sharing"",""กระบี่!J149"")"),13)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IFERROR(__xludf.DUMMYFUNCTION("IMPORTRANGE(""https://docs.google.com/spreadsheets/d/1IYY_tgx_IHuhSq3AJ5eI5OnqOPBNLWSHKh2a30DoXe8/edit?usp=sharing"",""กระบี่!J151"")"),0)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IFERROR(__xludf.DUMMYFUNCTION("IMPORTRANGE(""https://docs.google.com/spreadsheets/d/1IYY_tgx_IHuhSq3AJ5eI5OnqOPBNLWSHKh2a30DoXe8/edit?usp=sharing"",""กระบี่!J152"")"),1)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IFERROR(__xludf.DUMMYFUNCTION("IMPORTRANGE(""https://docs.google.com/spreadsheets/d/1IYY_tgx_IHuhSq3AJ5eI5OnqOPBNLWSHKh2a30DoXe8/edit?usp=sharing"",""กระบี่!J153"")"),1)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IFERROR(__xludf.DUMMYFUNCTION("IMPORTRANGE(""https://docs.google.com/spreadsheets/d/1IYY_tgx_IHuhSq3AJ5eI5OnqOPBNLWSHKh2a30DoXe8/edit?usp=sharing"",""กระบี่!J154"")"),1)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IFERROR(__xludf.DUMMYFUNCTION("IMPORTRANGE(""https://docs.google.com/spreadsheets/d/1IYY_tgx_IHuhSq3AJ5eI5OnqOPBNLWSHKh2a30DoXe8/edit?usp=sharing"",""กระบี่!I155"")"),13)</f>
        <v>13</v>
      </c>
      <c r="J235" s="195">
        <f ca="1">IFERROR(__xludf.DUMMYFUNCTION("IMPORTRANGE(""https://docs.google.com/spreadsheets/d/1IYY_tgx_IHuhSq3AJ5eI5OnqOPBNLWSHKh2a30DoXe8/edit?usp=sharing"",""กระบี่!J155"")"),13)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IFERROR(__xludf.DUMMYFUNCTION("IMPORTRANGE(""https://docs.google.com/spreadsheets/d/1IYY_tgx_IHuhSq3AJ5eI5OnqOPBNLWSHKh2a30DoXe8/edit?usp=sharing"",""กระบี่!J156"")"),1)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IFERROR(__xludf.DUMMYFUNCTION("IMPORTRANGE(""https://docs.google.com/spreadsheets/d/1IYY_tgx_IHuhSq3AJ5eI5OnqOPBNLWSHKh2a30DoXe8/edit?usp=sharing"",""กระบี่!J157"")"),1)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IFERROR(__xludf.DUMMYFUNCTION("IMPORTRANGE(""https://docs.google.com/spreadsheets/d/1IYY_tgx_IHuhSq3AJ5eI5OnqOPBNLWSHKh2a30DoXe8/edit?usp=sharing"",""กระบี่!I158"")"),0)</f>
        <v>0</v>
      </c>
      <c r="J238" s="273">
        <f ca="1">IFERROR(__xludf.DUMMYFUNCTION("IMPORTRANGE(""https://docs.google.com/spreadsheets/d/1IYY_tgx_IHuhSq3AJ5eI5OnqOPBNLWSHKh2a30DoXe8/edit?usp=sharing"",""กระบี่!J158"")"),0)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IFERROR(__xludf.DUMMYFUNCTION("IMPORTRANGE(""https://docs.google.com/spreadsheets/d/1IYY_tgx_IHuhSq3AJ5eI5OnqOPBNLWSHKh2a30DoXe8/edit?usp=sharing"",""กระบี่!J159"")"),"")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IFERROR(__xludf.DUMMYFUNCTION("IMPORTRANGE(""https://docs.google.com/spreadsheets/d/1IYY_tgx_IHuhSq3AJ5eI5OnqOPBNLWSHKh2a30DoXe8/edit?usp=sharing"",""กระบี่!J161"")"),0)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IFERROR(__xludf.DUMMYFUNCTION("IMPORTRANGE(""https://docs.google.com/spreadsheets/d/1IYY_tgx_IHuhSq3AJ5eI5OnqOPBNLWSHKh2a30DoXe8/edit?usp=sharing"",""กระบี่!J162"")"),0)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IFERROR(__xludf.DUMMYFUNCTION("IMPORTRANGE(""https://docs.google.com/spreadsheets/d/1IYY_tgx_IHuhSq3AJ5eI5OnqOPBNLWSHKh2a30DoXe8/edit?usp=sharing"",""กระบี่!J163"")"),0)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IFERROR(__xludf.DUMMYFUNCTION("IMPORTRANGE(""https://docs.google.com/spreadsheets/d/1IYY_tgx_IHuhSq3AJ5eI5OnqOPBNLWSHKh2a30DoXe8/edit?usp=sharing"",""กระบี่!I164"")"),0)</f>
        <v>0</v>
      </c>
      <c r="J244" s="194">
        <f ca="1">IFERROR(__xludf.DUMMYFUNCTION("IMPORTRANGE(""https://docs.google.com/spreadsheets/d/1IYY_tgx_IHuhSq3AJ5eI5OnqOPBNLWSHKh2a30DoXe8/edit?usp=sharing"",""กระบี่!J164"")"),0)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IFERROR(__xludf.DUMMYFUNCTION("IMPORTRANGE(""https://docs.google.com/spreadsheets/d/1IYY_tgx_IHuhSq3AJ5eI5OnqOPBNLWSHKh2a30DoXe8/edit?usp=sharing"",""กระบี่!J165"")"),0)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IFERROR(__xludf.DUMMYFUNCTION("IMPORTRANGE(""https://docs.google.com/spreadsheets/d/1Yj_ptqi66GCucihVvJfMjLAmec39IyEx_6qawtMGysU/edit?usp=sharing"",""สบก!CB81"")"),0)</f>
        <v>0</v>
      </c>
      <c r="N254" s="174">
        <f ca="1">IFERROR(__xludf.DUMMYFUNCTION("IMPORTRANGE(""https://docs.google.com/spreadsheets/d/1Yj_ptqi66GCucihVvJfMjLAmec39IyEx_6qawtMGysU/edit?usp=sharing"",""สบก!CC81"")"),0)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IFERROR(__xludf.DUMMYFUNCTION("IMPORTRANGE(""https://docs.google.com/spreadsheets/d/1IYY_tgx_IHuhSq3AJ5eI5OnqOPBNLWSHKh2a30DoXe8/edit?usp=sharing"",""กระบี่!J175"")"),0)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IFERROR(__xludf.DUMMYFUNCTION("IMPORTRANGE(""https://docs.google.com/spreadsheets/d/1IYY_tgx_IHuhSq3AJ5eI5OnqOPBNLWSHKh2a30DoXe8/edit?usp=sharing"",""กระบี่!J176"")"),0)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IFERROR(__xludf.DUMMYFUNCTION("IMPORTRANGE(""https://docs.google.com/spreadsheets/d/1IYY_tgx_IHuhSq3AJ5eI5OnqOPBNLWSHKh2a30DoXe8/edit?usp=sharing"",""กระบี่!J177"")"),0)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IFERROR(__xludf.DUMMYFUNCTION("IMPORTRANGE(""https://docs.google.com/spreadsheets/d/1IYY_tgx_IHuhSq3AJ5eI5OnqOPBNLWSHKh2a30DoXe8/edit?usp=sharing"",""กระบี่!J178"")"),0)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IFERROR(__xludf.DUMMYFUNCTION("IMPORTRANGE(""https://docs.google.com/spreadsheets/d/1IYY_tgx_IHuhSq3AJ5eI5OnqOPBNLWSHKh2a30DoXe8/edit?usp=sharing"",""กระบี่!I179"")"),0)</f>
        <v>0</v>
      </c>
      <c r="J264" s="195">
        <f ca="1">IFERROR(__xludf.DUMMYFUNCTION("IMPORTRANGE(""https://docs.google.com/spreadsheets/d/1IYY_tgx_IHuhSq3AJ5eI5OnqOPBNLWSHKh2a30DoXe8/edit?usp=sharing"",""กระบี่!J179"")"),0)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IFERROR(__xludf.DUMMYFUNCTION("IMPORTRANGE(""https://docs.google.com/spreadsheets/d/1IYY_tgx_IHuhSq3AJ5eI5OnqOPBNLWSHKh2a30DoXe8/edit?usp=sharing"",""กระบี่!I180"")"),0)</f>
        <v>0</v>
      </c>
      <c r="J265" s="195">
        <f ca="1">IFERROR(__xludf.DUMMYFUNCTION("IMPORTRANGE(""https://docs.google.com/spreadsheets/d/1IYY_tgx_IHuhSq3AJ5eI5OnqOPBNLWSHKh2a30DoXe8/edit?usp=sharing"",""กระบี่!J180"")"),0)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IFERROR(__xludf.DUMMYFUNCTION("IMPORTRANGE(""https://docs.google.com/spreadsheets/d/1IYY_tgx_IHuhSq3AJ5eI5OnqOPBNLWSHKh2a30DoXe8/edit?usp=sharing"",""กระบี่!I181"")"),0)</f>
        <v>0</v>
      </c>
      <c r="J266" s="195">
        <f ca="1">IFERROR(__xludf.DUMMYFUNCTION("IMPORTRANGE(""https://docs.google.com/spreadsheets/d/1IYY_tgx_IHuhSq3AJ5eI5OnqOPBNLWSHKh2a30DoXe8/edit?usp=sharing"",""กระบี่!J181"")"),0)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IFERROR(__xludf.DUMMYFUNCTION("IMPORTRANGE(""https://docs.google.com/spreadsheets/d/1IYY_tgx_IHuhSq3AJ5eI5OnqOPBNLWSHKh2a30DoXe8/edit?usp=sharing"",""กระบี่!I182"")"),0)</f>
        <v>0</v>
      </c>
      <c r="J267" s="195">
        <f ca="1">IFERROR(__xludf.DUMMYFUNCTION("IMPORTRANGE(""https://docs.google.com/spreadsheets/d/1IYY_tgx_IHuhSq3AJ5eI5OnqOPBNLWSHKh2a30DoXe8/edit?usp=sharing"",""กระบี่!J182"")"),0)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IFERROR(__xludf.DUMMYFUNCTION("IMPORTRANGE(""https://docs.google.com/spreadsheets/d/1IYY_tgx_IHuhSq3AJ5eI5OnqOPBNLWSHKh2a30DoXe8/edit?usp=sharing"",""กระบี่!J183"")"),0)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IFERROR(__xludf.DUMMYFUNCTION("IMPORTRANGE(""https://docs.google.com/spreadsheets/d/1Yj_ptqi66GCucihVvJfMjLAmec39IyEx_6qawtMGysU/edit?usp=sharing"",""สบก!CK81"")"),0)</f>
        <v>0</v>
      </c>
      <c r="N275" s="174">
        <f ca="1">IFERROR(__xludf.DUMMYFUNCTION("IMPORTRANGE(""https://docs.google.com/spreadsheets/d/1Yj_ptqi66GCucihVvJfMjLAmec39IyEx_6qawtMGysU/edit?usp=sharing"",""สบก!CL81"")"),0)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IFERROR(__xludf.DUMMYFUNCTION("IMPORTRANGE(""https://docs.google.com/spreadsheets/d/1IYY_tgx_IHuhSq3AJ5eI5OnqOPBNLWSHKh2a30DoXe8/edit?usp=sharing"",""กระบี่!J191"")"),0)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IFERROR(__xludf.DUMMYFUNCTION("IMPORTRANGE(""https://docs.google.com/spreadsheets/d/1IYY_tgx_IHuhSq3AJ5eI5OnqOPBNLWSHKh2a30DoXe8/edit?usp=sharing"",""กระบี่!J192"")"),0)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IFERROR(__xludf.DUMMYFUNCTION("IMPORTRANGE(""https://docs.google.com/spreadsheets/d/1IYY_tgx_IHuhSq3AJ5eI5OnqOPBNLWSHKh2a30DoXe8/edit?usp=sharing"",""กระบี่!J193"")"),0)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IFERROR(__xludf.DUMMYFUNCTION("IMPORTRANGE(""https://docs.google.com/spreadsheets/d/1IYY_tgx_IHuhSq3AJ5eI5OnqOPBNLWSHKh2a30DoXe8/edit?usp=sharing"",""กระบี่!J194"")"),0)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IFERROR(__xludf.DUMMYFUNCTION("IMPORTRANGE(""https://docs.google.com/spreadsheets/d/1IYY_tgx_IHuhSq3AJ5eI5OnqOPBNLWSHKh2a30DoXe8/edit?usp=sharing"",""กระบี่!I195"")"),0)</f>
        <v>0</v>
      </c>
      <c r="J285" s="195">
        <f ca="1">IFERROR(__xludf.DUMMYFUNCTION("IMPORTRANGE(""https://docs.google.com/spreadsheets/d/1IYY_tgx_IHuhSq3AJ5eI5OnqOPBNLWSHKh2a30DoXe8/edit?usp=sharing"",""กระบี่!J195"")"),0)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IFERROR(__xludf.DUMMYFUNCTION("IMPORTRANGE(""https://docs.google.com/spreadsheets/d/1IYY_tgx_IHuhSq3AJ5eI5OnqOPBNLWSHKh2a30DoXe8/edit?usp=sharing"",""กระบี่!J196"")"),0)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IFERROR(__xludf.DUMMYFUNCTION("IMPORTRANGE(""https://docs.google.com/spreadsheets/d/1IYY_tgx_IHuhSq3AJ5eI5OnqOPBNLWSHKh2a30DoXe8/edit?usp=sharing"",""กระบี่!J197"")"),0)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665740</v>
      </c>
      <c r="M290" s="156">
        <f t="shared" ca="1" si="88"/>
        <v>665740</v>
      </c>
      <c r="N290" s="156">
        <f t="shared" ca="1" si="88"/>
        <v>560872</v>
      </c>
      <c r="O290" s="155">
        <f t="shared" ref="O290:O292" ca="1" si="89">IF(L290&gt;0,N290*100/L290,0)</f>
        <v>84.247904587376453</v>
      </c>
      <c r="P290" s="155">
        <f t="shared" ref="P290:P292" ca="1" si="90">IF(M290&gt;0,N290*100/M290,0)</f>
        <v>84.247904587376453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665740</v>
      </c>
      <c r="M292" s="161">
        <f t="shared" ca="1" si="92"/>
        <v>665740</v>
      </c>
      <c r="N292" s="161">
        <f t="shared" ca="1" si="92"/>
        <v>560872</v>
      </c>
      <c r="O292" s="160">
        <f t="shared" ca="1" si="89"/>
        <v>84.247904587376453</v>
      </c>
      <c r="P292" s="160">
        <f t="shared" ca="1" si="90"/>
        <v>84.247904587376453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195740</v>
      </c>
      <c r="M294" s="173">
        <f ca="1">IFERROR(__xludf.DUMMYFUNCTION("IMPORTRANGE(""https://docs.google.com/spreadsheets/d/1Yj_ptqi66GCucihVvJfMjLAmec39IyEx_6qawtMGysU/edit?usp=sharing"",""สบก!CT81"")"),195740)</f>
        <v>195740</v>
      </c>
      <c r="N294" s="174">
        <f ca="1">IFERROR(__xludf.DUMMYFUNCTION("IMPORTRANGE(""https://docs.google.com/spreadsheets/d/1Yj_ptqi66GCucihVvJfMjLAmec39IyEx_6qawtMGysU/edit?usp=sharing"",""สบก!CU81"")"),90872)</f>
        <v>90872</v>
      </c>
      <c r="O294" s="175">
        <f ca="1">IF(L294&gt;0,N294*100/L294,0)</f>
        <v>46.424849289874324</v>
      </c>
      <c r="P294" s="175">
        <f ca="1">IF(M294&gt;0,N294*100/M294,0)</f>
        <v>46.424849289874324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IFERROR(__xludf.DUMMYFUNCTION("IMPORTRANGE(""https://docs.google.com/spreadsheets/d/1Yj_ptqi66GCucihVvJfMjLAmec39IyEx_6qawtMGysU/edit?usp=sharing"",""สบก!CQ81"")"),195740)</f>
        <v>195740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IFERROR(__xludf.DUMMYFUNCTION("IMPORTRANGE(""https://docs.google.com/spreadsheets/d/1Yj_ptqi66GCucihVvJfMjLAmec39IyEx_6qawtMGysU/edit?usp=sharing"",""สบก!CR81"")"),470000)</f>
        <v>470000</v>
      </c>
      <c r="M298" s="101">
        <f ca="1">L298</f>
        <v>470000</v>
      </c>
      <c r="N298" s="91">
        <f ca="1">IFERROR(__xludf.DUMMYFUNCTION("IMPORTRANGE(""https://docs.google.com/spreadsheets/d/1Yj_ptqi66GCucihVvJfMjLAmec39IyEx_6qawtMGysU/edit?usp=sharing"",""สบก!CV81"")"),470000)</f>
        <v>470000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IFERROR(__xludf.DUMMYFUNCTION("IMPORTRANGE(""https://docs.google.com/spreadsheets/d/1IYY_tgx_IHuhSq3AJ5eI5OnqOPBNLWSHKh2a30DoXe8/edit?usp=sharing"",""กระบี่!J205"")"),0)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IFERROR(__xludf.DUMMYFUNCTION("IMPORTRANGE(""https://docs.google.com/spreadsheets/d/1IYY_tgx_IHuhSq3AJ5eI5OnqOPBNLWSHKh2a30DoXe8/edit?usp=sharing"",""กระบี่!J206"")"),1)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IFERROR(__xludf.DUMMYFUNCTION("IMPORTRANGE(""https://docs.google.com/spreadsheets/d/1IYY_tgx_IHuhSq3AJ5eI5OnqOPBNLWSHKh2a30DoXe8/edit?usp=sharing"",""กระบี่!J207"")"),1)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IFERROR(__xludf.DUMMYFUNCTION("IMPORTRANGE(""https://docs.google.com/spreadsheets/d/1IYY_tgx_IHuhSq3AJ5eI5OnqOPBNLWSHKh2a30DoXe8/edit?usp=sharing"",""กระบี่!J208"")"),1)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IFERROR(__xludf.DUMMYFUNCTION("IMPORTRANGE(""https://docs.google.com/spreadsheets/d/1IYY_tgx_IHuhSq3AJ5eI5OnqOPBNLWSHKh2a30DoXe8/edit?usp=sharing"",""กระบี่!I209"")"),65)</f>
        <v>65</v>
      </c>
      <c r="J304" s="210">
        <f ca="1">IFERROR(__xludf.DUMMYFUNCTION("IMPORTRANGE(""https://docs.google.com/spreadsheets/d/1IYY_tgx_IHuhSq3AJ5eI5OnqOPBNLWSHKh2a30DoXe8/edit?usp=sharing"",""กระบี่!J209"")"),65)</f>
        <v>65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IFERROR(__xludf.DUMMYFUNCTION("IMPORTRANGE(""https://docs.google.com/spreadsheets/d/1IYY_tgx_IHuhSq3AJ5eI5OnqOPBNLWSHKh2a30DoXe8/edit?usp=sharing"",""กระบี่!I211"")"),65)</f>
        <v>65</v>
      </c>
      <c r="J306" s="210">
        <f ca="1">IFERROR(__xludf.DUMMYFUNCTION("IMPORTRANGE(""https://docs.google.com/spreadsheets/d/1IYY_tgx_IHuhSq3AJ5eI5OnqOPBNLWSHKh2a30DoXe8/edit?usp=sharing"",""กระบี่!J211"")"),0)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IFERROR(__xludf.DUMMYFUNCTION("IMPORTRANGE(""https://docs.google.com/spreadsheets/d/1IYY_tgx_IHuhSq3AJ5eI5OnqOPBNLWSHKh2a30DoXe8/edit?usp=sharing"",""กระบี่!J212"")"),0)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IFERROR(__xludf.DUMMYFUNCTION("IMPORTRANGE(""https://docs.google.com/spreadsheets/d/1IYY_tgx_IHuhSq3AJ5eI5OnqOPBNLWSHKh2a30DoXe8/edit?usp=sharing"",""กระบี่!J213"")"),0)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5143600</v>
      </c>
      <c r="M310" s="156">
        <f t="shared" ca="1" si="93"/>
        <v>5289600</v>
      </c>
      <c r="N310" s="156">
        <f t="shared" ca="1" si="93"/>
        <v>325568.67</v>
      </c>
      <c r="O310" s="155">
        <f t="shared" ref="O310:O312" ca="1" si="94">IF(L310&gt;0,N310*100/L310,0)</f>
        <v>6.3295876428960263</v>
      </c>
      <c r="P310" s="155">
        <f t="shared" ref="P310:P312" ca="1" si="95">IF(M310&gt;0,N310*100/M310,0)</f>
        <v>6.1548825998185119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5143600</v>
      </c>
      <c r="M312" s="161">
        <f t="shared" ca="1" si="97"/>
        <v>5289600</v>
      </c>
      <c r="N312" s="161">
        <f t="shared" ca="1" si="97"/>
        <v>325568.67</v>
      </c>
      <c r="O312" s="160">
        <f t="shared" ca="1" si="94"/>
        <v>6.3295876428960263</v>
      </c>
      <c r="P312" s="160">
        <f t="shared" ca="1" si="95"/>
        <v>6.1548825998185119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243600</v>
      </c>
      <c r="M314" s="173">
        <f ca="1">IFERROR(__xludf.DUMMYFUNCTION("IMPORTRANGE(""https://docs.google.com/spreadsheets/d/1Yj_ptqi66GCucihVvJfMjLAmec39IyEx_6qawtMGysU/edit?usp=sharing"",""สบก!DC81"")"),389600)</f>
        <v>389600</v>
      </c>
      <c r="N314" s="174">
        <f ca="1">IFERROR(__xludf.DUMMYFUNCTION("IMPORTRANGE(""https://docs.google.com/spreadsheets/d/1Yj_ptqi66GCucihVvJfMjLAmec39IyEx_6qawtMGysU/edit?usp=sharing"",""สบก!DD81"")"),325568.67)</f>
        <v>325568.67</v>
      </c>
      <c r="O314" s="175">
        <f ca="1">IF(L314&gt;0,N314*100/L314,0)</f>
        <v>133.64887931034482</v>
      </c>
      <c r="P314" s="175">
        <f ca="1">IF(M314&gt;0,N314*100/M314,0)</f>
        <v>83.564853696098567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IFERROR(__xludf.DUMMYFUNCTION("IMPORTRANGE(""https://docs.google.com/spreadsheets/d/1Yj_ptqi66GCucihVvJfMjLAmec39IyEx_6qawtMGysU/edit?usp=sharing"",""สบก!CZ81"")"),243600)</f>
        <v>243600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IFERROR(__xludf.DUMMYFUNCTION("IMPORTRANGE(""https://docs.google.com/spreadsheets/d/1Yj_ptqi66GCucihVvJfMjLAmec39IyEx_6qawtMGysU/edit?usp=sharing"",""สบก!DA81"")"),4900000)</f>
        <v>4900000</v>
      </c>
      <c r="M318" s="101">
        <f ca="1">L318</f>
        <v>4900000</v>
      </c>
      <c r="N318" s="91">
        <f ca="1">IFERROR(__xludf.DUMMYFUNCTION("IMPORTRANGE(""https://docs.google.com/spreadsheets/d/1Yj_ptqi66GCucihVvJfMjLAmec39IyEx_6qawtMGysU/edit?usp=sharing"",""สบก!DE81"")"),0)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IFERROR(__xludf.DUMMYFUNCTION("IMPORTRANGE(""https://docs.google.com/spreadsheets/d/1IYY_tgx_IHuhSq3AJ5eI5OnqOPBNLWSHKh2a30DoXe8/edit?usp=sharing"",""กระบี่!J220"")"),0)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IFERROR(__xludf.DUMMYFUNCTION("IMPORTRANGE(""https://docs.google.com/spreadsheets/d/1IYY_tgx_IHuhSq3AJ5eI5OnqOPBNLWSHKh2a30DoXe8/edit?usp=sharing"",""กระบี่!J221"")"),1)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IFERROR(__xludf.DUMMYFUNCTION("IMPORTRANGE(""https://docs.google.com/spreadsheets/d/1IYY_tgx_IHuhSq3AJ5eI5OnqOPBNLWSHKh2a30DoXe8/edit?usp=sharing"",""กระบี่!J222"")"),1)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IFERROR(__xludf.DUMMYFUNCTION("IMPORTRANGE(""https://docs.google.com/spreadsheets/d/1IYY_tgx_IHuhSq3AJ5eI5OnqOPBNLWSHKh2a30DoXe8/edit?usp=sharing"",""กระบี่!J223"")"),1)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IFERROR(__xludf.DUMMYFUNCTION("IMPORTRANGE(""https://docs.google.com/spreadsheets/d/1IYY_tgx_IHuhSq3AJ5eI5OnqOPBNLWSHKh2a30DoXe8/edit?usp=sharing"",""กระบี่!I224"")"),2)</f>
        <v>2</v>
      </c>
      <c r="J324" s="210">
        <f ca="1">IFERROR(__xludf.DUMMYFUNCTION("IMPORTRANGE(""https://docs.google.com/spreadsheets/d/1IYY_tgx_IHuhSq3AJ5eI5OnqOPBNLWSHKh2a30DoXe8/edit?usp=sharing"",""กระบี่!J224"")"),2)</f>
        <v>2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IFERROR(__xludf.DUMMYFUNCTION("IMPORTRANGE(""https://docs.google.com/spreadsheets/d/1IYY_tgx_IHuhSq3AJ5eI5OnqOPBNLWSHKh2a30DoXe8/edit?usp=sharing"",""กระบี่!J225"")"),0)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IFERROR(__xludf.DUMMYFUNCTION("IMPORTRANGE(""https://docs.google.com/spreadsheets/d/1IYY_tgx_IHuhSq3AJ5eI5OnqOPBNLWSHKh2a30DoXe8/edit?usp=sharing"",""กระบี่!J226"")"),0)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IFERROR(__xludf.DUMMYFUNCTION("IMPORTRANGE(""https://docs.google.com/spreadsheets/d/1IYY_tgx_IHuhSq3AJ5eI5OnqOPBNLWSHKh2a30DoXe8/edit?usp=sharing"",""กระบี่!I228"")"),410)</f>
        <v>410</v>
      </c>
      <c r="J328" s="345">
        <f ca="1">IFERROR(__xludf.DUMMYFUNCTION("IMPORTRANGE(""https://docs.google.com/spreadsheets/d/1IYY_tgx_IHuhSq3AJ5eI5OnqOPBNLWSHKh2a30DoXe8/edit?usp=sharing"",""กระบี่!J228"")"),317)</f>
        <v>317</v>
      </c>
      <c r="K328" s="323">
        <f ca="1">IF(I328&gt;0,J328*100/I328,0)</f>
        <v>77.317073170731703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971320</v>
      </c>
      <c r="M329" s="156">
        <f t="shared" ca="1" si="98"/>
        <v>939520</v>
      </c>
      <c r="N329" s="156">
        <f t="shared" ca="1" si="98"/>
        <v>631912.59</v>
      </c>
      <c r="O329" s="155">
        <f t="shared" ref="O329:O331" ca="1" si="99">IF(L329&gt;0,N329*100/L329,0)</f>
        <v>65.057096528435537</v>
      </c>
      <c r="P329" s="155">
        <f t="shared" ref="P329:P331" ca="1" si="100">IF(M329&gt;0,N329*100/M329,0)</f>
        <v>67.259088683583101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971320</v>
      </c>
      <c r="M331" s="161">
        <f t="shared" ca="1" si="102"/>
        <v>939520</v>
      </c>
      <c r="N331" s="161">
        <f t="shared" ca="1" si="102"/>
        <v>631912.59</v>
      </c>
      <c r="O331" s="160">
        <f t="shared" ca="1" si="99"/>
        <v>65.057096528435537</v>
      </c>
      <c r="P331" s="160">
        <f t="shared" ca="1" si="100"/>
        <v>67.259088683583101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939750</v>
      </c>
      <c r="M333" s="173">
        <f ca="1">IFERROR(__xludf.DUMMYFUNCTION("IMPORTRANGE(""https://docs.google.com/spreadsheets/d/1Yj_ptqi66GCucihVvJfMjLAmec39IyEx_6qawtMGysU/edit?usp=sharing"",""สบก!DL81"")"),907950)</f>
        <v>907950</v>
      </c>
      <c r="N333" s="174">
        <f ca="1">IFERROR(__xludf.DUMMYFUNCTION("IMPORTRANGE(""https://docs.google.com/spreadsheets/d/1Yj_ptqi66GCucihVvJfMjLAmec39IyEx_6qawtMGysU/edit?usp=sharing"",""สบก!DM81"")"),600342.59)</f>
        <v>600342.59</v>
      </c>
      <c r="O333" s="175">
        <f ca="1">IF(L333&gt;0,N333*100/L333,0)</f>
        <v>63.88322319765895</v>
      </c>
      <c r="P333" s="175">
        <f ca="1">IF(M333&gt;0,N333*100/M333,0)</f>
        <v>66.120666336252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IFERROR(__xludf.DUMMYFUNCTION("IMPORTRANGE(""https://docs.google.com/spreadsheets/d/1Yj_ptqi66GCucihVvJfMjLAmec39IyEx_6qawtMGysU/edit?usp=sharing"",""สบก!DH81"")"),306000)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IFERROR(__xludf.DUMMYFUNCTION("IMPORTRANGE(""https://docs.google.com/spreadsheets/d/1Yj_ptqi66GCucihVvJfMjLAmec39IyEx_6qawtMGysU/edit?usp=sharing"",""สบก!DI81"")"),633750)</f>
        <v>633750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IFERROR(__xludf.DUMMYFUNCTION("IMPORTRANGE(""https://docs.google.com/spreadsheets/d/1IYY_tgx_IHuhSq3AJ5eI5OnqOPBNLWSHKh2a30DoXe8/edit?usp=sharing"",""กระบี่!I234"")"),0)</f>
        <v>0</v>
      </c>
      <c r="J339" s="194">
        <f ca="1">IFERROR(__xludf.DUMMYFUNCTION("IMPORTRANGE(""https://docs.google.com/spreadsheets/d/1IYY_tgx_IHuhSq3AJ5eI5OnqOPBNLWSHKh2a30DoXe8/edit?usp=sharing"",""กระบี่!J234"")"),374)</f>
        <v>374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IFERROR(__xludf.DUMMYFUNCTION("IMPORTRANGE(""https://docs.google.com/spreadsheets/d/1IYY_tgx_IHuhSq3AJ5eI5OnqOPBNLWSHKh2a30DoXe8/edit?usp=sharing"",""กระบี่!I235"")"),5000)</f>
        <v>5000</v>
      </c>
      <c r="J340" s="194">
        <f ca="1">IFERROR(__xludf.DUMMYFUNCTION("IMPORTRANGE(""https://docs.google.com/spreadsheets/d/1IYY_tgx_IHuhSq3AJ5eI5OnqOPBNLWSHKh2a30DoXe8/edit?usp=sharing"",""กระบี่!J235"")"),5199.82)</f>
        <v>5199.82</v>
      </c>
      <c r="K340" s="348">
        <f t="shared" ca="1" si="103"/>
        <v>103.99639999999999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IFERROR(__xludf.DUMMYFUNCTION("IMPORTRANGE(""https://docs.google.com/spreadsheets/d/1IYY_tgx_IHuhSq3AJ5eI5OnqOPBNLWSHKh2a30DoXe8/edit?usp=sharing"",""กระบี่!I236"")"),410)</f>
        <v>410</v>
      </c>
      <c r="J341" s="194">
        <f ca="1">IFERROR(__xludf.DUMMYFUNCTION("IMPORTRANGE(""https://docs.google.com/spreadsheets/d/1IYY_tgx_IHuhSq3AJ5eI5OnqOPBNLWSHKh2a30DoXe8/edit?usp=sharing"",""กระบี่!J236"")"),445)</f>
        <v>445</v>
      </c>
      <c r="K341" s="348">
        <f t="shared" ca="1" si="103"/>
        <v>108.53658536585365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4">
        <f ca="1">IFERROR(__xludf.DUMMYFUNCTION("IMPORTRANGE(""https://docs.google.com/spreadsheets/d/1IYY_tgx_IHuhSq3AJ5eI5OnqOPBNLWSHKh2a30DoXe8/edit?usp=sharing"",""กระบี่!J237"")"),5964.96)</f>
        <v>5964.96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IFERROR(__xludf.DUMMYFUNCTION("IMPORTRANGE(""https://docs.google.com/spreadsheets/d/1IYY_tgx_IHuhSq3AJ5eI5OnqOPBNLWSHKh2a30DoXe8/edit?usp=sharing"",""กระบี่!I238"")"),410)</f>
        <v>410</v>
      </c>
      <c r="J343" s="194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4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IFERROR(__xludf.DUMMYFUNCTION("IMPORTRANGE(""https://docs.google.com/spreadsheets/d/1IYY_tgx_IHuhSq3AJ5eI5OnqOPBNLWSHKh2a30DoXe8/edit?usp=sharing"",""กระบี่!I240"")"),410)</f>
        <v>410</v>
      </c>
      <c r="J345" s="194">
        <f ca="1">IFERROR(__xludf.DUMMYFUNCTION("IMPORTRANGE(""https://docs.google.com/spreadsheets/d/1IYY_tgx_IHuhSq3AJ5eI5OnqOPBNLWSHKh2a30DoXe8/edit?usp=sharing"",""กระบี่!J240"")"),317)</f>
        <v>317</v>
      </c>
      <c r="K345" s="348">
        <f t="shared" ca="1" si="103"/>
        <v>77.317073170731703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4">
        <f ca="1">IFERROR(__xludf.DUMMYFUNCTION("IMPORTRANGE(""https://docs.google.com/spreadsheets/d/1IYY_tgx_IHuhSq3AJ5eI5OnqOPBNLWSHKh2a30DoXe8/edit?usp=sharing"",""กระบี่!J241"")"),4547.07)</f>
        <v>4547.07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IFERROR(__xludf.DUMMYFUNCTION("IMPORTRANGE(""https://docs.google.com/spreadsheets/d/1IYY_tgx_IHuhSq3AJ5eI5OnqOPBNLWSHKh2a30DoXe8/edit?usp=sharing"",""กระบี่!L242"")"),1276273)</f>
        <v>1276273</v>
      </c>
      <c r="M347" s="364"/>
      <c r="N347" s="364">
        <f ca="1">IFERROR(__xludf.DUMMYFUNCTION("IMPORTRANGE(""https://docs.google.com/spreadsheets/d/1IYY_tgx_IHuhSq3AJ5eI5OnqOPBNLWSHKh2a30DoXe8/edit?usp=sharing"",""กระบี่!M242"")"),818378.36)</f>
        <v>818378.36</v>
      </c>
      <c r="O347" s="364">
        <f ca="1">+IF(L347&gt;0,N347*100/L347,0)</f>
        <v>64.122516107447225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IFERROR(__xludf.DUMMYFUNCTION("IMPORTRANGE(""https://docs.google.com/spreadsheets/d/1IYY_tgx_IHuhSq3AJ5eI5OnqOPBNLWSHKh2a30DoXe8/edit?usp=sharing"",""กระบี่!L246"")"),0)</f>
        <v>0</v>
      </c>
      <c r="M351" s="168"/>
      <c r="N351" s="168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8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IFERROR(__xludf.DUMMYFUNCTION("IMPORTRANGE(""https://docs.google.com/spreadsheets/d/1IYY_tgx_IHuhSq3AJ5eI5OnqOPBNLWSHKh2a30DoXe8/edit?usp=sharing"",""กระบี่!L248"")"),0)</f>
        <v>0</v>
      </c>
      <c r="M353" s="175"/>
      <c r="N353" s="175">
        <f ca="1">IFERROR(__xludf.DUMMYFUNCTION("IMPORTRANGE(""https://docs.google.com/spreadsheets/d/1IYY_tgx_IHuhSq3AJ5eI5OnqOPBNLWSHKh2a30DoXe8/edit?usp=sharing"",""กระบี่!M248"")"),0)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IFERROR(__xludf.DUMMYFUNCTION("IMPORTRANGE(""https://docs.google.com/spreadsheets/d/1IYY_tgx_IHuhSq3AJ5eI5OnqOPBNLWSHKh2a30DoXe8/edit?usp=sharing"",""กระบี่!L249"")"),0)</f>
        <v>0</v>
      </c>
      <c r="M354" s="175"/>
      <c r="N354" s="172">
        <f ca="1">IFERROR(__xludf.DUMMYFUNCTION("IMPORTRANGE(""https://docs.google.com/spreadsheets/d/1IYY_tgx_IHuhSq3AJ5eI5OnqOPBNLWSHKh2a30DoXe8/edit?usp=sharing"",""กระบี่!M249"")"),0)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IFERROR(__xludf.DUMMYFUNCTION("IMPORTRANGE(""https://docs.google.com/spreadsheets/d/1IYY_tgx_IHuhSq3AJ5eI5OnqOPBNLWSHKh2a30DoXe8/edit?usp=sharing"",""กระบี่!J255"")"),0)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IFERROR(__xludf.DUMMYFUNCTION("IMPORTRANGE(""https://docs.google.com/spreadsheets/d/1IYY_tgx_IHuhSq3AJ5eI5OnqOPBNLWSHKh2a30DoXe8/edit?usp=sharing"",""กระบี่!J256"")"),0)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IFERROR(__xludf.DUMMYFUNCTION("IMPORTRANGE(""https://docs.google.com/spreadsheets/d/1IYY_tgx_IHuhSq3AJ5eI5OnqOPBNLWSHKh2a30DoXe8/edit?usp=sharing"",""กระบี่!J257"")"),0)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IFERROR(__xludf.DUMMYFUNCTION("IMPORTRANGE(""https://docs.google.com/spreadsheets/d/1IYY_tgx_IHuhSq3AJ5eI5OnqOPBNLWSHKh2a30DoXe8/edit?usp=sharing"",""กระบี่!J258"")"),0)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IFERROR(__xludf.DUMMYFUNCTION("IMPORTRANGE(""https://docs.google.com/spreadsheets/d/1IYY_tgx_IHuhSq3AJ5eI5OnqOPBNLWSHKh2a30DoXe8/edit?usp=sharing"",""กระบี่!J166"")"),0)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IFERROR(__xludf.DUMMYFUNCTION("IMPORTRANGE(""https://docs.google.com/spreadsheets/d/1IYY_tgx_IHuhSq3AJ5eI5OnqOPBNLWSHKh2a30DoXe8/edit?usp=sharing"",""กระบี่!J166"")"),0)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IFERROR(__xludf.DUMMYFUNCTION("IMPORTRANGE(""https://docs.google.com/spreadsheets/d/1IYY_tgx_IHuhSq3AJ5eI5OnqOPBNLWSHKh2a30DoXe8/edit?usp=sharing"",""กระบี่!J166"")"),0)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IFERROR(__xludf.DUMMYFUNCTION("IMPORTRANGE(""https://docs.google.com/spreadsheets/d/1IYY_tgx_IHuhSq3AJ5eI5OnqOPBNLWSHKh2a30DoXe8/edit?usp=sharing"",""กระบี่!J166"")"),0)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IFERROR(__xludf.DUMMYFUNCTION("IMPORTRANGE(""https://docs.google.com/spreadsheets/d/1IYY_tgx_IHuhSq3AJ5eI5OnqOPBNLWSHKh2a30DoXe8/edit?usp=sharing"",""กระบี่!I263"")"),0)</f>
        <v>0</v>
      </c>
      <c r="J368" s="194">
        <f ca="1">IFERROR(__xludf.DUMMYFUNCTION("IMPORTRANGE(""https://docs.google.com/spreadsheets/d/1IYY_tgx_IHuhSq3AJ5eI5OnqOPBNLWSHKh2a30DoXe8/edit?usp=sharing"",""กระบี่!J263"")"),0)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IFERROR(__xludf.DUMMYFUNCTION("IMPORTRANGE(""https://docs.google.com/spreadsheets/d/1IYY_tgx_IHuhSq3AJ5eI5OnqOPBNLWSHKh2a30DoXe8/edit?usp=sharing"",""กระบี่!I164"")"),0)</f>
        <v>0</v>
      </c>
      <c r="J369" s="210">
        <f ca="1">IFERROR(__xludf.DUMMYFUNCTION("IMPORTRANGE(""https://docs.google.com/spreadsheets/d/1IYY_tgx_IHuhSq3AJ5eI5OnqOPBNLWSHKh2a30DoXe8/edit?usp=sharing"",""กระบี่!J164"")"),0)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IFERROR(__xludf.DUMMYFUNCTION("IMPORTRANGE(""https://docs.google.com/spreadsheets/d/1IYY_tgx_IHuhSq3AJ5eI5OnqOPBNLWSHKh2a30DoXe8/edit?usp=sharing"",""กระบี่!I265"")"),0)</f>
        <v>0</v>
      </c>
      <c r="J370" s="210">
        <f ca="1">IFERROR(__xludf.DUMMYFUNCTION("IMPORTRANGE(""https://docs.google.com/spreadsheets/d/1IYY_tgx_IHuhSq3AJ5eI5OnqOPBNLWSHKh2a30DoXe8/edit?usp=sharing"",""กระบี่!J265"")"),0)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IFERROR(__xludf.DUMMYFUNCTION("IMPORTRANGE(""https://docs.google.com/spreadsheets/d/1IYY_tgx_IHuhSq3AJ5eI5OnqOPBNLWSHKh2a30DoXe8/edit?usp=sharing"",""กระบี่!I164"")"),0)</f>
        <v>0</v>
      </c>
      <c r="J371" s="195">
        <f ca="1">IFERROR(__xludf.DUMMYFUNCTION("IMPORTRANGE(""https://docs.google.com/spreadsheets/d/1IYY_tgx_IHuhSq3AJ5eI5OnqOPBNLWSHKh2a30DoXe8/edit?usp=sharing"",""กระบี่!J164"")"),0)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IFERROR(__xludf.DUMMYFUNCTION("IMPORTRANGE(""https://docs.google.com/spreadsheets/d/1IYY_tgx_IHuhSq3AJ5eI5OnqOPBNLWSHKh2a30DoXe8/edit?usp=sharing"",""กระบี่!I267"")"),0)</f>
        <v>0</v>
      </c>
      <c r="J372" s="195">
        <f ca="1">IFERROR(__xludf.DUMMYFUNCTION("IMPORTRANGE(""https://docs.google.com/spreadsheets/d/1IYY_tgx_IHuhSq3AJ5eI5OnqOPBNLWSHKh2a30DoXe8/edit?usp=sharing"",""กระบี่!J267"")"),0)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IFERROR(__xludf.DUMMYFUNCTION("IMPORTRANGE(""https://docs.google.com/spreadsheets/d/1IYY_tgx_IHuhSq3AJ5eI5OnqOPBNLWSHKh2a30DoXe8/edit?usp=sharing"",""กระบี่!I164"")"),0)</f>
        <v>0</v>
      </c>
      <c r="J373" s="210">
        <f ca="1">IFERROR(__xludf.DUMMYFUNCTION("IMPORTRANGE(""https://docs.google.com/spreadsheets/d/1IYY_tgx_IHuhSq3AJ5eI5OnqOPBNLWSHKh2a30DoXe8/edit?usp=sharing"",""กระบี่!J164"")"),0)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IFERROR(__xludf.DUMMYFUNCTION("IMPORTRANGE(""https://docs.google.com/spreadsheets/d/1IYY_tgx_IHuhSq3AJ5eI5OnqOPBNLWSHKh2a30DoXe8/edit?usp=sharing"",""กระบี่!I164"")"),0)</f>
        <v>0</v>
      </c>
      <c r="J374" s="194">
        <f ca="1">IFERROR(__xludf.DUMMYFUNCTION("IMPORTRANGE(""https://docs.google.com/spreadsheets/d/1IYY_tgx_IHuhSq3AJ5eI5OnqOPBNLWSHKh2a30DoXe8/edit?usp=sharing"",""กระบี่!J164"")"),0)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IFERROR(__xludf.DUMMYFUNCTION("IMPORTRANGE(""https://docs.google.com/spreadsheets/d/1IYY_tgx_IHuhSq3AJ5eI5OnqOPBNLWSHKh2a30DoXe8/edit?usp=sharing"",""กระบี่!I270"")"),0)</f>
        <v>0</v>
      </c>
      <c r="J375" s="194">
        <f ca="1">IFERROR(__xludf.DUMMYFUNCTION("IMPORTRANGE(""https://docs.google.com/spreadsheets/d/1IYY_tgx_IHuhSq3AJ5eI5OnqOPBNLWSHKh2a30DoXe8/edit?usp=sharing"",""กระบี่!J270"")"),0)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IFERROR(__xludf.DUMMYFUNCTION("IMPORTRANGE(""https://docs.google.com/spreadsheets/d/1IYY_tgx_IHuhSq3AJ5eI5OnqOPBNLWSHKh2a30DoXe8/edit?usp=sharing"",""กระบี่!I271"")"),0)</f>
        <v>0</v>
      </c>
      <c r="J376" s="195">
        <f ca="1">IFERROR(__xludf.DUMMYFUNCTION("IMPORTRANGE(""https://docs.google.com/spreadsheets/d/1IYY_tgx_IHuhSq3AJ5eI5OnqOPBNLWSHKh2a30DoXe8/edit?usp=sharing"",""กระบี่!J271"")"),0)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IFERROR(__xludf.DUMMYFUNCTION("IMPORTRANGE(""https://docs.google.com/spreadsheets/d/1IYY_tgx_IHuhSq3AJ5eI5OnqOPBNLWSHKh2a30DoXe8/edit?usp=sharing"",""กระบี่!I272"")"),0)</f>
        <v>0</v>
      </c>
      <c r="J377" s="210">
        <f ca="1">IFERROR(__xludf.DUMMYFUNCTION("IMPORTRANGE(""https://docs.google.com/spreadsheets/d/1IYY_tgx_IHuhSq3AJ5eI5OnqOPBNLWSHKh2a30DoXe8/edit?usp=sharing"",""กระบี่!J272"")"),0)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IFERROR(__xludf.DUMMYFUNCTION("IMPORTRANGE(""https://docs.google.com/spreadsheets/d/1IYY_tgx_IHuhSq3AJ5eI5OnqOPBNLWSHKh2a30DoXe8/edit?usp=sharing"",""กระบี่!J273"")"),0)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IFERROR(__xludf.DUMMYFUNCTION("IMPORTRANGE(""https://docs.google.com/spreadsheets/d/1IYY_tgx_IHuhSq3AJ5eI5OnqOPBNLWSHKh2a30DoXe8/edit?usp=sharing"",""กระบี่!J274"")"),0)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IFERROR(__xludf.DUMMYFUNCTION("IMPORTRANGE(""https://docs.google.com/spreadsheets/d/1IYY_tgx_IHuhSq3AJ5eI5OnqOPBNLWSHKh2a30DoXe8/edit?usp=sharing"",""กระบี่!J275"")"),300)</f>
        <v>300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IFERROR(__xludf.DUMMYFUNCTION("IMPORTRANGE(""https://docs.google.com/spreadsheets/d/1IYY_tgx_IHuhSq3AJ5eI5OnqOPBNLWSHKh2a30DoXe8/edit?usp=sharing"",""กระบี่!M275"")"),289730)</f>
        <v>289730</v>
      </c>
      <c r="O380" s="379">
        <f ca="1">+IF(L380&gt;0,N380*100/L380,0)</f>
        <v>98.581150051037767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IFERROR(__xludf.DUMMYFUNCTION("IMPORTRANGE(""https://docs.google.com/spreadsheets/d/1IYY_tgx_IHuhSq3AJ5eI5OnqOPBNLWSHKh2a30DoXe8/edit?usp=sharing"",""กระบี่!L277"")"),0)</f>
        <v>0</v>
      </c>
      <c r="M382" s="168"/>
      <c r="N382" s="168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IFERROR(__xludf.DUMMYFUNCTION("IMPORTRANGE(""https://docs.google.com/spreadsheets/d/1IYY_tgx_IHuhSq3AJ5eI5OnqOPBNLWSHKh2a30DoXe8/edit?usp=sharing"",""กระบี่!M278"")"),289730)</f>
        <v>289730</v>
      </c>
      <c r="O383" s="169">
        <f t="shared" ca="1" si="109"/>
        <v>98.581150051037767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IFERROR(__xludf.DUMMYFUNCTION("IMPORTRANGE(""https://docs.google.com/spreadsheets/d/1IYY_tgx_IHuhSq3AJ5eI5OnqOPBNLWSHKh2a30DoXe8/edit?usp=sharing"",""กระบี่!L279"")"),0)</f>
        <v>0</v>
      </c>
      <c r="M384" s="175"/>
      <c r="N384" s="175">
        <f ca="1">IFERROR(__xludf.DUMMYFUNCTION("IMPORTRANGE(""https://docs.google.com/spreadsheets/d/1IYY_tgx_IHuhSq3AJ5eI5OnqOPBNLWSHKh2a30DoXe8/edit?usp=sharing"",""กระบี่!M279"")"),0)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IFERROR(__xludf.DUMMYFUNCTION("IMPORTRANGE(""https://docs.google.com/spreadsheets/d/1IYY_tgx_IHuhSq3AJ5eI5OnqOPBNLWSHKh2a30DoXe8/edit?usp=sharing"",""กระบี่!L280"")"),293900)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IFERROR(__xludf.DUMMYFUNCTION("IMPORTRANGE(""https://docs.google.com/spreadsheets/d/1IYY_tgx_IHuhSq3AJ5eI5OnqOPBNLWSHKh2a30DoXe8/edit?usp=sharing"",""กระบี่!M280"")"),289730)</f>
        <v>289730</v>
      </c>
      <c r="O385" s="175">
        <f t="shared" ca="1" si="109"/>
        <v>98.581150051037767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IFERROR(__xludf.DUMMYFUNCTION("IMPORTRANGE(""https://docs.google.com/spreadsheets/d/1IYY_tgx_IHuhSq3AJ5eI5OnqOPBNLWSHKh2a30DoXe8/edit?usp=sharing"",""กระบี่!M282"")"),187500)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IFERROR(__xludf.DUMMYFUNCTION("IMPORTRANGE(""https://docs.google.com/spreadsheets/d/1IYY_tgx_IHuhSq3AJ5eI5OnqOPBNLWSHKh2a30DoXe8/edit?usp=sharing"",""กระบี่!M284"")"),26030)</f>
        <v>26030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IFERROR(__xludf.DUMMYFUNCTION("IMPORTRANGE(""https://docs.google.com/spreadsheets/d/1IYY_tgx_IHuhSq3AJ5eI5OnqOPBNLWSHKh2a30DoXe8/edit?usp=sharing"",""กระบี่!J286"")"),0)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IFERROR(__xludf.DUMMYFUNCTION("IMPORTRANGE(""https://docs.google.com/spreadsheets/d/1IYY_tgx_IHuhSq3AJ5eI5OnqOPBNLWSHKh2a30DoXe8/edit?usp=sharing"",""กระบี่!J287"")"),1)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IFERROR(__xludf.DUMMYFUNCTION("IMPORTRANGE(""https://docs.google.com/spreadsheets/d/1IYY_tgx_IHuhSq3AJ5eI5OnqOPBNLWSHKh2a30DoXe8/edit?usp=sharing"",""กระบี่!J288"")"),1)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IFERROR(__xludf.DUMMYFUNCTION("IMPORTRANGE(""https://docs.google.com/spreadsheets/d/1IYY_tgx_IHuhSq3AJ5eI5OnqOPBNLWSHKh2a30DoXe8/edit?usp=sharing"",""กระบี่!J289"")"),1)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IFERROR(__xludf.DUMMYFUNCTION("IMPORTRANGE(""https://docs.google.com/spreadsheets/d/1IYY_tgx_IHuhSq3AJ5eI5OnqOPBNLWSHKh2a30DoXe8/edit?usp=sharing"",""กระบี่!I291"")"),30)</f>
        <v>30</v>
      </c>
      <c r="J396" s="204">
        <f ca="1">IFERROR(__xludf.DUMMYFUNCTION("IMPORTRANGE(""https://docs.google.com/spreadsheets/d/1IYY_tgx_IHuhSq3AJ5eI5OnqOPBNLWSHKh2a30DoXe8/edit?usp=sharing"",""กระบี่!J291"")"),30)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IFERROR(__xludf.DUMMYFUNCTION("IMPORTRANGE(""https://docs.google.com/spreadsheets/d/1IYY_tgx_IHuhSq3AJ5eI5OnqOPBNLWSHKh2a30DoXe8/edit?usp=sharing"",""กระบี่!I292"")"),300)</f>
        <v>300</v>
      </c>
      <c r="J397" s="204">
        <f ca="1">IFERROR(__xludf.DUMMYFUNCTION("IMPORTRANGE(""https://docs.google.com/spreadsheets/d/1IYY_tgx_IHuhSq3AJ5eI5OnqOPBNLWSHKh2a30DoXe8/edit?usp=sharing"",""กระบี่!J292"")"),300)</f>
        <v>300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IFERROR(__xludf.DUMMYFUNCTION("IMPORTRANGE(""https://docs.google.com/spreadsheets/d/1IYY_tgx_IHuhSq3AJ5eI5OnqOPBNLWSHKh2a30DoXe8/edit?usp=sharing"",""กระบี่!I293"")"),30)</f>
        <v>30</v>
      </c>
      <c r="J398" s="204">
        <f ca="1">IFERROR(__xludf.DUMMYFUNCTION("IMPORTRANGE(""https://docs.google.com/spreadsheets/d/1IYY_tgx_IHuhSq3AJ5eI5OnqOPBNLWSHKh2a30DoXe8/edit?usp=sharing"",""กระบี่!J293"")"),30)</f>
        <v>30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IFERROR(__xludf.DUMMYFUNCTION("IMPORTRANGE(""https://docs.google.com/spreadsheets/d/1IYY_tgx_IHuhSq3AJ5eI5OnqOPBNLWSHKh2a30DoXe8/edit?usp=sharing"",""กระบี่!J294"")"),1)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IFERROR(__xludf.DUMMYFUNCTION("IMPORTRANGE(""https://docs.google.com/spreadsheets/d/1IYY_tgx_IHuhSq3AJ5eI5OnqOPBNLWSHKh2a30DoXe8/edit?usp=sharing"",""กระบี่!J295"")"),1)</f>
        <v>1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IFERROR(__xludf.DUMMYFUNCTION("IMPORTRANGE(""https://docs.google.com/spreadsheets/d/1IYY_tgx_IHuhSq3AJ5eI5OnqOPBNLWSHKh2a30DoXe8/edit?usp=sharing"",""กระบี่!M296"")"),130590)</f>
        <v>130590</v>
      </c>
      <c r="O401" s="379">
        <f ca="1">+IF(L401&gt;0,N401*100/L401,0)</f>
        <v>99.149646951636171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IFERROR(__xludf.DUMMYFUNCTION("IMPORTRANGE(""https://docs.google.com/spreadsheets/d/1IYY_tgx_IHuhSq3AJ5eI5OnqOPBNLWSHKh2a30DoXe8/edit?usp=sharing"",""กระบี่!L298"")"),0)</f>
        <v>0</v>
      </c>
      <c r="M403" s="168"/>
      <c r="N403" s="175">
        <f ca="1">IFERROR(__xludf.DUMMYFUNCTION("IMPORTRANGE(""https://docs.google.com/spreadsheets/d/1IYY_tgx_IHuhSq3AJ5eI5OnqOPBNLWSHKh2a30DoXe8/edit?usp=sharing"",""กระบี่!M298"")"),0)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IFERROR(__xludf.DUMMYFUNCTION("IMPORTRANGE(""https://docs.google.com/spreadsheets/d/1IYY_tgx_IHuhSq3AJ5eI5OnqOPBNLWSHKh2a30DoXe8/edit?usp=sharing"",""กระบี่!M299"")"),130590)</f>
        <v>130590</v>
      </c>
      <c r="O404" s="175">
        <f t="shared" ca="1" si="112"/>
        <v>99.149646951636171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IFERROR(__xludf.DUMMYFUNCTION("IMPORTRANGE(""https://docs.google.com/spreadsheets/d/1IYY_tgx_IHuhSq3AJ5eI5OnqOPBNLWSHKh2a30DoXe8/edit?usp=sharing"",""กระบี่!L300"")"),0)</f>
        <v>0</v>
      </c>
      <c r="M405" s="175"/>
      <c r="N405" s="175">
        <f ca="1">IFERROR(__xludf.DUMMYFUNCTION("IMPORTRANGE(""https://docs.google.com/spreadsheets/d/1IYY_tgx_IHuhSq3AJ5eI5OnqOPBNLWSHKh2a30DoXe8/edit?usp=sharing"",""กระบี่!M300"")"),0)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IFERROR(__xludf.DUMMYFUNCTION("IMPORTRANGE(""https://docs.google.com/spreadsheets/d/1IYY_tgx_IHuhSq3AJ5eI5OnqOPBNLWSHKh2a30DoXe8/edit?usp=sharing"",""กระบี่!L301"")"),131710)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IFERROR(__xludf.DUMMYFUNCTION("IMPORTRANGE(""https://docs.google.com/spreadsheets/d/1IYY_tgx_IHuhSq3AJ5eI5OnqOPBNLWSHKh2a30DoXe8/edit?usp=sharing"",""กระบี่!M301"")"),130590)</f>
        <v>130590</v>
      </c>
      <c r="O406" s="175">
        <f t="shared" ca="1" si="112"/>
        <v>99.149646951636171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IFERROR(__xludf.DUMMYFUNCTION("IMPORTRANGE(""https://docs.google.com/spreadsheets/d/1IYY_tgx_IHuhSq3AJ5eI5OnqOPBNLWSHKh2a30DoXe8/edit?usp=sharing"",""กระบี่!M302"")"),79090)</f>
        <v>79090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IFERROR(__xludf.DUMMYFUNCTION("IMPORTRANGE(""https://docs.google.com/spreadsheets/d/1IYY_tgx_IHuhSq3AJ5eI5OnqOPBNLWSHKh2a30DoXe8/edit?usp=sharing"",""กระบี่!M303"")"),25500)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IFERROR(__xludf.DUMMYFUNCTION("IMPORTRANGE(""https://docs.google.com/spreadsheets/d/1IYY_tgx_IHuhSq3AJ5eI5OnqOPBNLWSHKh2a30DoXe8/edit?usp=sharing"",""กระบี่!M305"")"),26000)</f>
        <v>26000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IFERROR(__xludf.DUMMYFUNCTION("IMPORTRANGE(""https://docs.google.com/spreadsheets/d/1IYY_tgx_IHuhSq3AJ5eI5OnqOPBNLWSHKh2a30DoXe8/edit?usp=sharing"",""กระบี่!J307"")"),0)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IFERROR(__xludf.DUMMYFUNCTION("IMPORTRANGE(""https://docs.google.com/spreadsheets/d/1IYY_tgx_IHuhSq3AJ5eI5OnqOPBNLWSHKh2a30DoXe8/edit?usp=sharing"",""กระบี่!J308"")"),1)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IFERROR(__xludf.DUMMYFUNCTION("IMPORTRANGE(""https://docs.google.com/spreadsheets/d/1IYY_tgx_IHuhSq3AJ5eI5OnqOPBNLWSHKh2a30DoXe8/edit?usp=sharing"",""กระบี่!J309"")"),1)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IFERROR(__xludf.DUMMYFUNCTION("IMPORTRANGE(""https://docs.google.com/spreadsheets/d/1IYY_tgx_IHuhSq3AJ5eI5OnqOPBNLWSHKh2a30DoXe8/edit?usp=sharing"",""กระบี่!J310"")"),1)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IFERROR(__xludf.DUMMYFUNCTION("IMPORTRANGE(""https://docs.google.com/spreadsheets/d/1IYY_tgx_IHuhSq3AJ5eI5OnqOPBNLWSHKh2a30DoXe8/edit?usp=sharing"",""กระบี่!I311"")"),35)</f>
        <v>35</v>
      </c>
      <c r="J416" s="207">
        <f ca="1">IFERROR(__xludf.DUMMYFUNCTION("IMPORTRANGE(""https://docs.google.com/spreadsheets/d/1IYY_tgx_IHuhSq3AJ5eI5OnqOPBNLWSHKh2a30DoXe8/edit?usp=sharing"",""กระบี่!J311"")"),35)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IFERROR(__xludf.DUMMYFUNCTION("IMPORTRANGE(""https://docs.google.com/spreadsheets/d/1IYY_tgx_IHuhSq3AJ5eI5OnqOPBNLWSHKh2a30DoXe8/edit?usp=sharing"",""กระบี่!J328"")"),0)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IFERROR(__xludf.DUMMYFUNCTION("IMPORTRANGE(""https://docs.google.com/spreadsheets/d/1IYY_tgx_IHuhSq3AJ5eI5OnqOPBNLWSHKh2a30DoXe8/edit?usp=sharing"",""กระบี่!J329"")"),0)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IFERROR(__xludf.DUMMYFUNCTION("IMPORTRANGE(""https://docs.google.com/spreadsheets/d/1IYY_tgx_IHuhSq3AJ5eI5OnqOPBNLWSHKh2a30DoXe8/edit?usp=sharing"",""กระบี่!M330"")"),50104)</f>
        <v>50104</v>
      </c>
      <c r="O435" s="418">
        <f t="shared" ref="O435:O439" ca="1" si="114">+IF(L435&gt;0,N435*100/L435,0)</f>
        <v>65.926315789473691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IFERROR(__xludf.DUMMYFUNCTION("IMPORTRANGE(""https://docs.google.com/spreadsheets/d/1IYY_tgx_IHuhSq3AJ5eI5OnqOPBNLWSHKh2a30DoXe8/edit?usp=sharing"",""กระบี่!L331"")"),0)</f>
        <v>0</v>
      </c>
      <c r="M436" s="168"/>
      <c r="N436" s="175">
        <f ca="1">IFERROR(__xludf.DUMMYFUNCTION("IMPORTRANGE(""https://docs.google.com/spreadsheets/d/1IYY_tgx_IHuhSq3AJ5eI5OnqOPBNLWSHKh2a30DoXe8/edit?usp=sharing"",""กระบี่!M331"")"),0)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IFERROR(__xludf.DUMMYFUNCTION("IMPORTRANGE(""https://docs.google.com/spreadsheets/d/1IYY_tgx_IHuhSq3AJ5eI5OnqOPBNLWSHKh2a30DoXe8/edit?usp=sharing"",""กระบี่!L332"")"),76000)</f>
        <v>76000</v>
      </c>
      <c r="M437" s="169"/>
      <c r="N437" s="175">
        <f ca="1">IFERROR(__xludf.DUMMYFUNCTION("IMPORTRANGE(""https://docs.google.com/spreadsheets/d/1IYY_tgx_IHuhSq3AJ5eI5OnqOPBNLWSHKh2a30DoXe8/edit?usp=sharing"",""กระบี่!M332"")"),50104)</f>
        <v>50104</v>
      </c>
      <c r="O437" s="175">
        <f t="shared" ca="1" si="114"/>
        <v>65.926315789473691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IFERROR(__xludf.DUMMYFUNCTION("IMPORTRANGE(""https://docs.google.com/spreadsheets/d/1IYY_tgx_IHuhSq3AJ5eI5OnqOPBNLWSHKh2a30DoXe8/edit?usp=sharing"",""กระบี่!L333"")"),0)</f>
        <v>0</v>
      </c>
      <c r="M438" s="175"/>
      <c r="N438" s="175">
        <f ca="1">IFERROR(__xludf.DUMMYFUNCTION("IMPORTRANGE(""https://docs.google.com/spreadsheets/d/1IYY_tgx_IHuhSq3AJ5eI5OnqOPBNLWSHKh2a30DoXe8/edit?usp=sharing"",""กระบี่!M333"")"),0)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IFERROR(__xludf.DUMMYFUNCTION("IMPORTRANGE(""https://docs.google.com/spreadsheets/d/1IYY_tgx_IHuhSq3AJ5eI5OnqOPBNLWSHKh2a30DoXe8/edit?usp=sharing"",""กระบี่!L334"")"),76000)</f>
        <v>76000</v>
      </c>
      <c r="M439" s="175"/>
      <c r="N439" s="175">
        <f ca="1">IFERROR(__xludf.DUMMYFUNCTION("IMPORTRANGE(""https://docs.google.com/spreadsheets/d/1IYY_tgx_IHuhSq3AJ5eI5OnqOPBNLWSHKh2a30DoXe8/edit?usp=sharing"",""กระบี่!M334"")"),50104)</f>
        <v>50104</v>
      </c>
      <c r="O439" s="175">
        <f t="shared" ca="1" si="114"/>
        <v>65.926315789473691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IFERROR(__xludf.DUMMYFUNCTION("IMPORTRANGE(""https://docs.google.com/spreadsheets/d/1IYY_tgx_IHuhSq3AJ5eI5OnqOPBNLWSHKh2a30DoXe8/edit?usp=sharing"",""กระบี่!M335"")"),32960)</f>
        <v>32960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IFERROR(__xludf.DUMMYFUNCTION("IMPORTRANGE(""https://docs.google.com/spreadsheets/d/1IYY_tgx_IHuhSq3AJ5eI5OnqOPBNLWSHKh2a30DoXe8/edit?usp=sharing"",""กระบี่!M338"")"),17144)</f>
        <v>17144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IFERROR(__xludf.DUMMYFUNCTION("IMPORTRANGE(""https://docs.google.com/spreadsheets/d/1IYY_tgx_IHuhSq3AJ5eI5OnqOPBNLWSHKh2a30DoXe8/edit?usp=sharing"",""กระบี่!J340"")"),0)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IFERROR(__xludf.DUMMYFUNCTION("IMPORTRANGE(""https://docs.google.com/spreadsheets/d/1IYY_tgx_IHuhSq3AJ5eI5OnqOPBNLWSHKh2a30DoXe8/edit?usp=sharing"",""กระบี่!J341"")"),0)</f>
        <v>0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IFERROR(__xludf.DUMMYFUNCTION("IMPORTRANGE(""https://docs.google.com/spreadsheets/d/1IYY_tgx_IHuhSq3AJ5eI5OnqOPBNLWSHKh2a30DoXe8/edit?usp=sharing"",""กระบี่!J342"")"),1)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IFERROR(__xludf.DUMMYFUNCTION("IMPORTRANGE(""https://docs.google.com/spreadsheets/d/1IYY_tgx_IHuhSq3AJ5eI5OnqOPBNLWSHKh2a30DoXe8/edit?usp=sharing"",""กระบี่!J343"")"),1)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7">
        <f ca="1">IFERROR(__xludf.DUMMYFUNCTION("IMPORTRANGE(""https://docs.google.com/spreadsheets/d/1IYY_tgx_IHuhSq3AJ5eI5OnqOPBNLWSHKh2a30DoXe8/edit?usp=sharing"",""กระบี่!J344"")"),10)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5">
        <f ca="1">IFERROR(__xludf.DUMMYFUNCTION("IMPORTRANGE(""https://docs.google.com/spreadsheets/d/1IYY_tgx_IHuhSq3AJ5eI5OnqOPBNLWSHKh2a30DoXe8/edit?usp=sharing"",""กระบี่!J345"")"),10)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4">
        <f ca="1">IFERROR(__xludf.DUMMYFUNCTION("IMPORTRANGE(""https://docs.google.com/spreadsheets/d/1IYY_tgx_IHuhSq3AJ5eI5OnqOPBNLWSHKh2a30DoXe8/edit?usp=sharing"",""กระบี่!J346"")"),0)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IFERROR(__xludf.DUMMYFUNCTION("IMPORTRANGE(""https://docs.google.com/spreadsheets/d/1IYY_tgx_IHuhSq3AJ5eI5OnqOPBNLWSHKh2a30DoXe8/edit?usp=sharing"",""กระบี่!I347"")"),0)</f>
        <v>0</v>
      </c>
      <c r="J452" s="194">
        <f ca="1">IFERROR(__xludf.DUMMYFUNCTION("IMPORTRANGE(""https://docs.google.com/spreadsheets/d/1IYY_tgx_IHuhSq3AJ5eI5OnqOPBNLWSHKh2a30DoXe8/edit?usp=sharing"",""กระบี่!J347"")"),0)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IFERROR(__xludf.DUMMYFUNCTION("IMPORTRANGE(""https://docs.google.com/spreadsheets/d/1IYY_tgx_IHuhSq3AJ5eI5OnqOPBNLWSHKh2a30DoXe8/edit?usp=sharing"",""กระบี่!J348"")"),1)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IFERROR(__xludf.DUMMYFUNCTION("IMPORTRANGE(""https://docs.google.com/spreadsheets/d/1IYY_tgx_IHuhSq3AJ5eI5OnqOPBNLWSHKh2a30DoXe8/edit?usp=sharing"",""กระบี่!J349"")"),1)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IFERROR(__xludf.DUMMYFUNCTION("IMPORTRANGE(""https://docs.google.com/spreadsheets/d/1IYY_tgx_IHuhSq3AJ5eI5OnqOPBNLWSHKh2a30DoXe8/edit?usp=sharing"",""กระบี่!J350"")"),60350)</f>
        <v>60350</v>
      </c>
      <c r="K455" s="378">
        <f ca="1">IF(I455&gt;0,J455*100/I455,0)</f>
        <v>90.931006946013952</v>
      </c>
      <c r="L455" s="379">
        <f ca="1">IFERROR(__xludf.DUMMYFUNCTION("IMPORTRANGE(""https://docs.google.com/spreadsheets/d/1IYY_tgx_IHuhSq3AJ5eI5OnqOPBNLWSHKh2a30DoXe8/edit?usp=sharing"",""กระบี่!L350"")"),542383)</f>
        <v>542383</v>
      </c>
      <c r="M455" s="379"/>
      <c r="N455" s="379">
        <f ca="1">IFERROR(__xludf.DUMMYFUNCTION("IMPORTRANGE(""https://docs.google.com/spreadsheets/d/1IYY_tgx_IHuhSq3AJ5eI5OnqOPBNLWSHKh2a30DoXe8/edit?usp=sharing"",""กระบี่!M350"")"),278014.36)</f>
        <v>278014.36</v>
      </c>
      <c r="O455" s="379">
        <f t="shared" ref="O455:O459" ca="1" si="116">+IF(L455&gt;0,N455*100/L455,0)</f>
        <v>51.257941344031799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IFERROR(__xludf.DUMMYFUNCTION("IMPORTRANGE(""https://docs.google.com/spreadsheets/d/1IYY_tgx_IHuhSq3AJ5eI5OnqOPBNLWSHKh2a30DoXe8/edit?usp=sharing"",""กระบี่!L351"")"),0)</f>
        <v>0</v>
      </c>
      <c r="M456" s="168"/>
      <c r="N456" s="175">
        <f ca="1">IFERROR(__xludf.DUMMYFUNCTION("IMPORTRANGE(""https://docs.google.com/spreadsheets/d/1IYY_tgx_IHuhSq3AJ5eI5OnqOPBNLWSHKh2a30DoXe8/edit?usp=sharing"",""กระบี่!M351"")"),0)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IFERROR(__xludf.DUMMYFUNCTION("IMPORTRANGE(""https://docs.google.com/spreadsheets/d/1IYY_tgx_IHuhSq3AJ5eI5OnqOPBNLWSHKh2a30DoXe8/edit?usp=sharing"",""กระบี่!L352"")"),542383)</f>
        <v>542383</v>
      </c>
      <c r="M457" s="169"/>
      <c r="N457" s="175">
        <f ca="1">IFERROR(__xludf.DUMMYFUNCTION("IMPORTRANGE(""https://docs.google.com/spreadsheets/d/1IYY_tgx_IHuhSq3AJ5eI5OnqOPBNLWSHKh2a30DoXe8/edit?usp=sharing"",""กระบี่!M352"")"),278014.36)</f>
        <v>278014.36</v>
      </c>
      <c r="O457" s="175">
        <f t="shared" ca="1" si="116"/>
        <v>51.257941344031799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IFERROR(__xludf.DUMMYFUNCTION("IMPORTRANGE(""https://docs.google.com/spreadsheets/d/1IYY_tgx_IHuhSq3AJ5eI5OnqOPBNLWSHKh2a30DoXe8/edit?usp=sharing"",""กระบี่!L353"")"),0)</f>
        <v>0</v>
      </c>
      <c r="M458" s="175"/>
      <c r="N458" s="175">
        <f ca="1">IFERROR(__xludf.DUMMYFUNCTION("IMPORTRANGE(""https://docs.google.com/spreadsheets/d/1IYY_tgx_IHuhSq3AJ5eI5OnqOPBNLWSHKh2a30DoXe8/edit?usp=sharing"",""กระบี่!M353"")"),0)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IFERROR(__xludf.DUMMYFUNCTION("IMPORTRANGE(""https://docs.google.com/spreadsheets/d/1IYY_tgx_IHuhSq3AJ5eI5OnqOPBNLWSHKh2a30DoXe8/edit?usp=sharing"",""กระบี่!L354"")"),542383)</f>
        <v>542383</v>
      </c>
      <c r="M459" s="175"/>
      <c r="N459" s="175">
        <f ca="1">IFERROR(__xludf.DUMMYFUNCTION("IMPORTRANGE(""https://docs.google.com/spreadsheets/d/1IYY_tgx_IHuhSq3AJ5eI5OnqOPBNLWSHKh2a30DoXe8/edit?usp=sharing"",""กระบี่!M354"")"),278014.36)</f>
        <v>278014.36</v>
      </c>
      <c r="O459" s="175">
        <f t="shared" ca="1" si="116"/>
        <v>51.257941344031799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IFERROR(__xludf.DUMMYFUNCTION("IMPORTRANGE(""https://docs.google.com/spreadsheets/d/1IYY_tgx_IHuhSq3AJ5eI5OnqOPBNLWSHKh2a30DoXe8/edit?usp=sharing"",""กระบี่!M355"")"),0)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IFERROR(__xludf.DUMMYFUNCTION("IMPORTRANGE(""https://docs.google.com/spreadsheets/d/1IYY_tgx_IHuhSq3AJ5eI5OnqOPBNLWSHKh2a30DoXe8/edit?usp=sharing"",""กระบี่!M356"")"),0)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IFERROR(__xludf.DUMMYFUNCTION("IMPORTRANGE(""https://docs.google.com/spreadsheets/d/1IYY_tgx_IHuhSq3AJ5eI5OnqOPBNLWSHKh2a30DoXe8/edit?usp=sharing"",""กระบี่!M357"")"),92967.76)</f>
        <v>92967.76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IFERROR(__xludf.DUMMYFUNCTION("IMPORTRANGE(""https://docs.google.com/spreadsheets/d/1IYY_tgx_IHuhSq3AJ5eI5OnqOPBNLWSHKh2a30DoXe8/edit?usp=sharing"",""กระบี่!M358"")"),185046.6)</f>
        <v>185046.6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IFERROR(__xludf.DUMMYFUNCTION("IMPORTRANGE(""https://docs.google.com/spreadsheets/d/1IYY_tgx_IHuhSq3AJ5eI5OnqOPBNLWSHKh2a30DoXe8/edit?usp=sharing"",""กระบี่!I359"")"),66369)</f>
        <v>66369</v>
      </c>
      <c r="J464" s="273">
        <f ca="1">IFERROR(__xludf.DUMMYFUNCTION("IMPORTRANGE(""https://docs.google.com/spreadsheets/d/1IYY_tgx_IHuhSq3AJ5eI5OnqOPBNLWSHKh2a30DoXe8/edit?usp=sharing"",""กระบี่!J359"")"),60350)</f>
        <v>60350</v>
      </c>
      <c r="K464" s="274">
        <f t="shared" ref="K464:K515" ca="1" si="117">IF(I464&gt;0,J464*100/I464,0)</f>
        <v>90.931006946013952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IFERROR(__xludf.DUMMYFUNCTION("IMPORTRANGE(""https://docs.google.com/spreadsheets/d/1IYY_tgx_IHuhSq3AJ5eI5OnqOPBNLWSHKh2a30DoXe8/edit?usp=sharing"",""กระบี่!J360"")"),66369)</f>
        <v>66369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IFERROR(__xludf.DUMMYFUNCTION("IMPORTRANGE(""https://docs.google.com/spreadsheets/d/1IYY_tgx_IHuhSq3AJ5eI5OnqOPBNLWSHKh2a30DoXe8/edit?usp=sharing"",""กระบี่!I362"")"),0)</f>
        <v>0</v>
      </c>
      <c r="J467" s="195">
        <f ca="1">IFERROR(__xludf.DUMMYFUNCTION("IMPORTRANGE(""https://docs.google.com/spreadsheets/d/1IYY_tgx_IHuhSq3AJ5eI5OnqOPBNLWSHKh2a30DoXe8/edit?usp=sharing"",""กระบี่!J362"")"),59431)</f>
        <v>59431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IFERROR(__xludf.DUMMYFUNCTION("IMPORTRANGE(""https://docs.google.com/spreadsheets/d/1IYY_tgx_IHuhSq3AJ5eI5OnqOPBNLWSHKh2a30DoXe8/edit?usp=sharing"",""กระบี่!I363"")"),0)</f>
        <v>0</v>
      </c>
      <c r="J468" s="195">
        <f ca="1">IFERROR(__xludf.DUMMYFUNCTION("IMPORTRANGE(""https://docs.google.com/spreadsheets/d/1IYY_tgx_IHuhSq3AJ5eI5OnqOPBNLWSHKh2a30DoXe8/edit?usp=sharing"",""กระบี่!J363"")"),3640)</f>
        <v>3640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IFERROR(__xludf.DUMMYFUNCTION("IMPORTRANGE(""https://docs.google.com/spreadsheets/d/1IYY_tgx_IHuhSq3AJ5eI5OnqOPBNLWSHKh2a30DoXe8/edit?usp=sharing"",""กระบี่!I364"")"),0)</f>
        <v>0</v>
      </c>
      <c r="J469" s="195">
        <f ca="1">IFERROR(__xludf.DUMMYFUNCTION("IMPORTRANGE(""https://docs.google.com/spreadsheets/d/1IYY_tgx_IHuhSq3AJ5eI5OnqOPBNLWSHKh2a30DoXe8/edit?usp=sharing"",""กระบี่!J364"")"),6391)</f>
        <v>6391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IFERROR(__xludf.DUMMYFUNCTION("IMPORTRANGE(""https://docs.google.com/spreadsheets/d/1IYY_tgx_IHuhSq3AJ5eI5OnqOPBNLWSHKh2a30DoXe8/edit?usp=sharing"",""กระบี่!I365"")"),0)</f>
        <v>0</v>
      </c>
      <c r="J470" s="195">
        <f ca="1">IFERROR(__xludf.DUMMYFUNCTION("IMPORTRANGE(""https://docs.google.com/spreadsheets/d/1IYY_tgx_IHuhSq3AJ5eI5OnqOPBNLWSHKh2a30DoXe8/edit?usp=sharing"",""กระบี่!J365"")"),369)</f>
        <v>369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IFERROR(__xludf.DUMMYFUNCTION("IMPORTRANGE(""https://docs.google.com/spreadsheets/d/1IYY_tgx_IHuhSq3AJ5eI5OnqOPBNLWSHKh2a30DoXe8/edit?usp=sharing"",""กระบี่!I366"")"),0)</f>
        <v>0</v>
      </c>
      <c r="J471" s="195">
        <f ca="1">IFERROR(__xludf.DUMMYFUNCTION("IMPORTRANGE(""https://docs.google.com/spreadsheets/d/1IYY_tgx_IHuhSq3AJ5eI5OnqOPBNLWSHKh2a30DoXe8/edit?usp=sharing"",""กระบี่!J366"")"),547)</f>
        <v>547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IFERROR(__xludf.DUMMYFUNCTION("IMPORTRANGE(""https://docs.google.com/spreadsheets/d/1IYY_tgx_IHuhSq3AJ5eI5OnqOPBNLWSHKh2a30DoXe8/edit?usp=sharing"",""กระบี่!I367"")"),0)</f>
        <v>0</v>
      </c>
      <c r="J472" s="195">
        <f ca="1">IFERROR(__xludf.DUMMYFUNCTION("IMPORTRANGE(""https://docs.google.com/spreadsheets/d/1IYY_tgx_IHuhSq3AJ5eI5OnqOPBNLWSHKh2a30DoXe8/edit?usp=sharing"",""กระบี่!J367"")"),42)</f>
        <v>42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IFERROR(__xludf.DUMMYFUNCTION("IMPORTRANGE(""https://docs.google.com/spreadsheets/d/1IYY_tgx_IHuhSq3AJ5eI5OnqOPBNLWSHKh2a30DoXe8/edit?usp=sharing"",""กระบี่!J368"")"),66370)</f>
        <v>66370</v>
      </c>
      <c r="K473" s="208">
        <f t="shared" ca="1" si="117"/>
        <v>100.00150672753846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IFERROR(__xludf.DUMMYFUNCTION("IMPORTRANGE(""https://docs.google.com/spreadsheets/d/1IYY_tgx_IHuhSq3AJ5eI5OnqOPBNLWSHKh2a30DoXe8/edit?usp=sharing"",""กระบี่!J369"")"),4051)</f>
        <v>4051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IFERROR(__xludf.DUMMYFUNCTION("IMPORTRANGE(""https://docs.google.com/spreadsheets/d/1IYY_tgx_IHuhSq3AJ5eI5OnqOPBNLWSHKh2a30DoXe8/edit?usp=sharing"",""กระบี่!I370"")"),0)</f>
        <v>0</v>
      </c>
      <c r="J475" s="195">
        <f ca="1">IFERROR(__xludf.DUMMYFUNCTION("IMPORTRANGE(""https://docs.google.com/spreadsheets/d/1IYY_tgx_IHuhSq3AJ5eI5OnqOPBNLWSHKh2a30DoXe8/edit?usp=sharing"",""กระบี่!J370"")"),60350)</f>
        <v>60350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IFERROR(__xludf.DUMMYFUNCTION("IMPORTRANGE(""https://docs.google.com/spreadsheets/d/1IYY_tgx_IHuhSq3AJ5eI5OnqOPBNLWSHKh2a30DoXe8/edit?usp=sharing"",""กระบี่!I371"")"),0)</f>
        <v>0</v>
      </c>
      <c r="J476" s="195">
        <f ca="1">IFERROR(__xludf.DUMMYFUNCTION("IMPORTRANGE(""https://docs.google.com/spreadsheets/d/1IYY_tgx_IHuhSq3AJ5eI5OnqOPBNLWSHKh2a30DoXe8/edit?usp=sharing"",""กระบี่!J371"")"),3710)</f>
        <v>3710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IFERROR(__xludf.DUMMYFUNCTION("IMPORTRANGE(""https://docs.google.com/spreadsheets/d/1IYY_tgx_IHuhSq3AJ5eI5OnqOPBNLWSHKh2a30DoXe8/edit?usp=sharing"",""กระบี่!I372"")"),0)</f>
        <v>0</v>
      </c>
      <c r="J477" s="195">
        <f ca="1">IFERROR(__xludf.DUMMYFUNCTION("IMPORTRANGE(""https://docs.google.com/spreadsheets/d/1IYY_tgx_IHuhSq3AJ5eI5OnqOPBNLWSHKh2a30DoXe8/edit?usp=sharing"",""กระบี่!J372"")"),5501)</f>
        <v>5501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IFERROR(__xludf.DUMMYFUNCTION("IMPORTRANGE(""https://docs.google.com/spreadsheets/d/1IYY_tgx_IHuhSq3AJ5eI5OnqOPBNLWSHKh2a30DoXe8/edit?usp=sharing"",""กระบี่!I373"")"),0)</f>
        <v>0</v>
      </c>
      <c r="J478" s="195">
        <f ca="1">IFERROR(__xludf.DUMMYFUNCTION("IMPORTRANGE(""https://docs.google.com/spreadsheets/d/1IYY_tgx_IHuhSq3AJ5eI5OnqOPBNLWSHKh2a30DoXe8/edit?usp=sharing"",""กระบี่!J373"")"),301)</f>
        <v>301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IFERROR(__xludf.DUMMYFUNCTION("IMPORTRANGE(""https://docs.google.com/spreadsheets/d/1IYY_tgx_IHuhSq3AJ5eI5OnqOPBNLWSHKh2a30DoXe8/edit?usp=sharing"",""กระบี่!I374"")"),0)</f>
        <v>0</v>
      </c>
      <c r="J479" s="195">
        <f ca="1">IFERROR(__xludf.DUMMYFUNCTION("IMPORTRANGE(""https://docs.google.com/spreadsheets/d/1IYY_tgx_IHuhSq3AJ5eI5OnqOPBNLWSHKh2a30DoXe8/edit?usp=sharing"",""กระบี่!J374"")"),519)</f>
        <v>519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IFERROR(__xludf.DUMMYFUNCTION("IMPORTRANGE(""https://docs.google.com/spreadsheets/d/1IYY_tgx_IHuhSq3AJ5eI5OnqOPBNLWSHKh2a30DoXe8/edit?usp=sharing"",""กระบี่!I375"")"),0)</f>
        <v>0</v>
      </c>
      <c r="J480" s="195">
        <f ca="1">IFERROR(__xludf.DUMMYFUNCTION("IMPORTRANGE(""https://docs.google.com/spreadsheets/d/1IYY_tgx_IHuhSq3AJ5eI5OnqOPBNLWSHKh2a30DoXe8/edit?usp=sharing"",""กระบี่!J375"")"),40)</f>
        <v>40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IFERROR(__xludf.DUMMYFUNCTION("IMPORTRANGE(""https://docs.google.com/spreadsheets/d/1IYY_tgx_IHuhSq3AJ5eI5OnqOPBNLWSHKh2a30DoXe8/edit?usp=sharing"",""กระบี่!J376"")"),60350)</f>
        <v>60350</v>
      </c>
      <c r="K481" s="208">
        <f t="shared" ca="1" si="117"/>
        <v>90.931006946013952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IFERROR(__xludf.DUMMYFUNCTION("IMPORTRANGE(""https://docs.google.com/spreadsheets/d/1IYY_tgx_IHuhSq3AJ5eI5OnqOPBNLWSHKh2a30DoXe8/edit?usp=sharing"",""กระบี่!J377"")"),3710)</f>
        <v>3710</v>
      </c>
      <c r="K482" s="208">
        <f t="shared" ca="1" si="117"/>
        <v>91.582325351764993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IFERROR(__xludf.DUMMYFUNCTION("IMPORTRANGE(""https://docs.google.com/spreadsheets/d/1IYY_tgx_IHuhSq3AJ5eI5OnqOPBNLWSHKh2a30DoXe8/edit?usp=sharing"",""กระบี่!I378"")"),0)</f>
        <v>0</v>
      </c>
      <c r="J483" s="195">
        <f ca="1">IFERROR(__xludf.DUMMYFUNCTION("IMPORTRANGE(""https://docs.google.com/spreadsheets/d/1IYY_tgx_IHuhSq3AJ5eI5OnqOPBNLWSHKh2a30DoXe8/edit?usp=sharing"",""กระบี่!J378"")"),60350)</f>
        <v>60350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IFERROR(__xludf.DUMMYFUNCTION("IMPORTRANGE(""https://docs.google.com/spreadsheets/d/1IYY_tgx_IHuhSq3AJ5eI5OnqOPBNLWSHKh2a30DoXe8/edit?usp=sharing"",""กระบี่!I379"")"),0)</f>
        <v>0</v>
      </c>
      <c r="J484" s="195">
        <f ca="1">IFERROR(__xludf.DUMMYFUNCTION("IMPORTRANGE(""https://docs.google.com/spreadsheets/d/1IYY_tgx_IHuhSq3AJ5eI5OnqOPBNLWSHKh2a30DoXe8/edit?usp=sharing"",""กระบี่!J379"")"),3710)</f>
        <v>3710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IFERROR(__xludf.DUMMYFUNCTION("IMPORTRANGE(""https://docs.google.com/spreadsheets/d/1IYY_tgx_IHuhSq3AJ5eI5OnqOPBNLWSHKh2a30DoXe8/edit?usp=sharing"",""กระบี่!I380"")"),0)</f>
        <v>0</v>
      </c>
      <c r="J485" s="195">
        <f ca="1">IFERROR(__xludf.DUMMYFUNCTION("IMPORTRANGE(""https://docs.google.com/spreadsheets/d/1IYY_tgx_IHuhSq3AJ5eI5OnqOPBNLWSHKh2a30DoXe8/edit?usp=sharing"",""กระบี่!J380"")"),0)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IFERROR(__xludf.DUMMYFUNCTION("IMPORTRANGE(""https://docs.google.com/spreadsheets/d/1IYY_tgx_IHuhSq3AJ5eI5OnqOPBNLWSHKh2a30DoXe8/edit?usp=sharing"",""กระบี่!I381"")"),0)</f>
        <v>0</v>
      </c>
      <c r="J486" s="195">
        <f ca="1">IFERROR(__xludf.DUMMYFUNCTION("IMPORTRANGE(""https://docs.google.com/spreadsheets/d/1IYY_tgx_IHuhSq3AJ5eI5OnqOPBNLWSHKh2a30DoXe8/edit?usp=sharing"",""กระบี่!J381"")"),0)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IFERROR(__xludf.DUMMYFUNCTION("IMPORTRANGE(""https://docs.google.com/spreadsheets/d/1IYY_tgx_IHuhSq3AJ5eI5OnqOPBNLWSHKh2a30DoXe8/edit?usp=sharing"",""กระบี่!I384"")"),0)</f>
        <v>0</v>
      </c>
      <c r="J489" s="195">
        <f ca="1">IFERROR(__xludf.DUMMYFUNCTION("IMPORTRANGE(""https://docs.google.com/spreadsheets/d/1IYY_tgx_IHuhSq3AJ5eI5OnqOPBNLWSHKh2a30DoXe8/edit?usp=sharing"",""กระบี่!J384"")"),0)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IFERROR(__xludf.DUMMYFUNCTION("IMPORTRANGE(""https://docs.google.com/spreadsheets/d/1IYY_tgx_IHuhSq3AJ5eI5OnqOPBNLWSHKh2a30DoXe8/edit?usp=sharing"",""กระบี่!I385"")"),0)</f>
        <v>0</v>
      </c>
      <c r="J490" s="195">
        <f ca="1">IFERROR(__xludf.DUMMYFUNCTION("IMPORTRANGE(""https://docs.google.com/spreadsheets/d/1IYY_tgx_IHuhSq3AJ5eI5OnqOPBNLWSHKh2a30DoXe8/edit?usp=sharing"",""กระบี่!J385"")"),0)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IFERROR(__xludf.DUMMYFUNCTION("IMPORTRANGE(""https://docs.google.com/spreadsheets/d/1IYY_tgx_IHuhSq3AJ5eI5OnqOPBNLWSHKh2a30DoXe8/edit?usp=sharing"",""กระบี่!I386"")"),0)</f>
        <v>0</v>
      </c>
      <c r="J491" s="195">
        <f ca="1">IFERROR(__xludf.DUMMYFUNCTION("IMPORTRANGE(""https://docs.google.com/spreadsheets/d/1IYY_tgx_IHuhSq3AJ5eI5OnqOPBNLWSHKh2a30DoXe8/edit?usp=sharing"",""กระบี่!J386"")"),0)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IFERROR(__xludf.DUMMYFUNCTION("IMPORTRANGE(""https://docs.google.com/spreadsheets/d/1IYY_tgx_IHuhSq3AJ5eI5OnqOPBNLWSHKh2a30DoXe8/edit?usp=sharing"",""กระบี่!I387"")"),0)</f>
        <v>0</v>
      </c>
      <c r="J492" s="195">
        <f ca="1">IFERROR(__xludf.DUMMYFUNCTION("IMPORTRANGE(""https://docs.google.com/spreadsheets/d/1IYY_tgx_IHuhSq3AJ5eI5OnqOPBNLWSHKh2a30DoXe8/edit?usp=sharing"",""กระบี่!J387"")"),0)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IFERROR(__xludf.DUMMYFUNCTION("IMPORTRANGE(""https://docs.google.com/spreadsheets/d/1IYY_tgx_IHuhSq3AJ5eI5OnqOPBNLWSHKh2a30DoXe8/edit?usp=sharing"",""กระบี่!I388"")"),0)</f>
        <v>0</v>
      </c>
      <c r="J493" s="195">
        <f ca="1">IFERROR(__xludf.DUMMYFUNCTION("IMPORTRANGE(""https://docs.google.com/spreadsheets/d/1IYY_tgx_IHuhSq3AJ5eI5OnqOPBNLWSHKh2a30DoXe8/edit?usp=sharing"",""กระบี่!J388"")"),0)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IFERROR(__xludf.DUMMYFUNCTION("IMPORTRANGE(""https://docs.google.com/spreadsheets/d/1IYY_tgx_IHuhSq3AJ5eI5OnqOPBNLWSHKh2a30DoXe8/edit?usp=sharing"",""กระบี่!J392"")"),225)</f>
        <v>225</v>
      </c>
      <c r="K497" s="450">
        <f t="shared" ca="1" si="117"/>
        <v>45.271629778672029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IFERROR(__xludf.DUMMYFUNCTION("IMPORTRANGE(""https://docs.google.com/spreadsheets/d/1IYY_tgx_IHuhSq3AJ5eI5OnqOPBNLWSHKh2a30DoXe8/edit?usp=sharing"",""กระบี่!J393"")"),225)</f>
        <v>225</v>
      </c>
      <c r="K498" s="167">
        <f t="shared" ca="1" si="117"/>
        <v>45.271629778672029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IFERROR(__xludf.DUMMYFUNCTION("IMPORTRANGE(""https://docs.google.com/spreadsheets/d/1IYY_tgx_IHuhSq3AJ5eI5OnqOPBNLWSHKh2a30DoXe8/edit?usp=sharing"",""กระบี่!J394"")"),18)</f>
        <v>18</v>
      </c>
      <c r="K499" s="208">
        <f t="shared" ca="1" si="117"/>
        <v>32.727272727272727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IFERROR(__xludf.DUMMYFUNCTION("IMPORTRANGE(""https://docs.google.com/spreadsheets/d/1IYY_tgx_IHuhSq3AJ5eI5OnqOPBNLWSHKh2a30DoXe8/edit?usp=sharing"",""กระบี่!I395"")"),0)</f>
        <v>0</v>
      </c>
      <c r="J500" s="166">
        <f ca="1">IFERROR(__xludf.DUMMYFUNCTION("IMPORTRANGE(""https://docs.google.com/spreadsheets/d/1IYY_tgx_IHuhSq3AJ5eI5OnqOPBNLWSHKh2a30DoXe8/edit?usp=sharing"",""กระบี่!J395"")"),225)</f>
        <v>225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IFERROR(__xludf.DUMMYFUNCTION("IMPORTRANGE(""https://docs.google.com/spreadsheets/d/1IYY_tgx_IHuhSq3AJ5eI5OnqOPBNLWSHKh2a30DoXe8/edit?usp=sharing"",""กระบี่!I396"")"),0)</f>
        <v>0</v>
      </c>
      <c r="J501" s="166">
        <f ca="1">IFERROR(__xludf.DUMMYFUNCTION("IMPORTRANGE(""https://docs.google.com/spreadsheets/d/1IYY_tgx_IHuhSq3AJ5eI5OnqOPBNLWSHKh2a30DoXe8/edit?usp=sharing"",""กระบี่!J396"")"),18)</f>
        <v>18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IFERROR(__xludf.DUMMYFUNCTION("IMPORTRANGE(""https://docs.google.com/spreadsheets/d/1IYY_tgx_IHuhSq3AJ5eI5OnqOPBNLWSHKh2a30DoXe8/edit?usp=sharing"",""กระบี่!I397"")"),0)</f>
        <v>0</v>
      </c>
      <c r="J502" s="195">
        <f ca="1">IFERROR(__xludf.DUMMYFUNCTION("IMPORTRANGE(""https://docs.google.com/spreadsheets/d/1IYY_tgx_IHuhSq3AJ5eI5OnqOPBNLWSHKh2a30DoXe8/edit?usp=sharing"",""กระบี่!J397"")"),225)</f>
        <v>225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IFERROR(__xludf.DUMMYFUNCTION("IMPORTRANGE(""https://docs.google.com/spreadsheets/d/1IYY_tgx_IHuhSq3AJ5eI5OnqOPBNLWSHKh2a30DoXe8/edit?usp=sharing"",""กระบี่!I398"")"),0)</f>
        <v>0</v>
      </c>
      <c r="J503" s="204">
        <f ca="1">IFERROR(__xludf.DUMMYFUNCTION("IMPORTRANGE(""https://docs.google.com/spreadsheets/d/1IYY_tgx_IHuhSq3AJ5eI5OnqOPBNLWSHKh2a30DoXe8/edit?usp=sharing"",""กระบี่!J398"")"),18)</f>
        <v>18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IFERROR(__xludf.DUMMYFUNCTION("IMPORTRANGE(""https://docs.google.com/spreadsheets/d/1IYY_tgx_IHuhSq3AJ5eI5OnqOPBNLWSHKh2a30DoXe8/edit?usp=sharing"",""กระบี่!I399"")"),0)</f>
        <v>0</v>
      </c>
      <c r="J504" s="195">
        <f ca="1">IFERROR(__xludf.DUMMYFUNCTION("IMPORTRANGE(""https://docs.google.com/spreadsheets/d/1IYY_tgx_IHuhSq3AJ5eI5OnqOPBNLWSHKh2a30DoXe8/edit?usp=sharing"",""กระบี่!J399"")"),0)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IFERROR(__xludf.DUMMYFUNCTION("IMPORTRANGE(""https://docs.google.com/spreadsheets/d/1IYY_tgx_IHuhSq3AJ5eI5OnqOPBNLWSHKh2a30DoXe8/edit?usp=sharing"",""กระบี่!I400"")"),0)</f>
        <v>0</v>
      </c>
      <c r="J505" s="204">
        <f ca="1">IFERROR(__xludf.DUMMYFUNCTION("IMPORTRANGE(""https://docs.google.com/spreadsheets/d/1IYY_tgx_IHuhSq3AJ5eI5OnqOPBNLWSHKh2a30DoXe8/edit?usp=sharing"",""กระบี่!J400"")"),0)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IFERROR(__xludf.DUMMYFUNCTION("IMPORTRANGE(""https://docs.google.com/spreadsheets/d/1IYY_tgx_IHuhSq3AJ5eI5OnqOPBNLWSHKh2a30DoXe8/edit?usp=sharing"",""กระบี่!I401"")"),0)</f>
        <v>0</v>
      </c>
      <c r="J506" s="195">
        <f ca="1">IFERROR(__xludf.DUMMYFUNCTION("IMPORTRANGE(""https://docs.google.com/spreadsheets/d/1IYY_tgx_IHuhSq3AJ5eI5OnqOPBNLWSHKh2a30DoXe8/edit?usp=sharing"",""กระบี่!J401"")"),0)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IFERROR(__xludf.DUMMYFUNCTION("IMPORTRANGE(""https://docs.google.com/spreadsheets/d/1IYY_tgx_IHuhSq3AJ5eI5OnqOPBNLWSHKh2a30DoXe8/edit?usp=sharing"",""กระบี่!I402"")"),0)</f>
        <v>0</v>
      </c>
      <c r="J507" s="204">
        <f ca="1">IFERROR(__xludf.DUMMYFUNCTION("IMPORTRANGE(""https://docs.google.com/spreadsheets/d/1IYY_tgx_IHuhSq3AJ5eI5OnqOPBNLWSHKh2a30DoXe8/edit?usp=sharing"",""กระบี่!J402"")"),0)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IFERROR(__xludf.DUMMYFUNCTION("IMPORTRANGE(""https://docs.google.com/spreadsheets/d/1IYY_tgx_IHuhSq3AJ5eI5OnqOPBNLWSHKh2a30DoXe8/edit?usp=sharing"",""กระบี่!I403"")"),0)</f>
        <v>0</v>
      </c>
      <c r="J508" s="166">
        <f ca="1">IFERROR(__xludf.DUMMYFUNCTION("IMPORTRANGE(""https://docs.google.com/spreadsheets/d/1IYY_tgx_IHuhSq3AJ5eI5OnqOPBNLWSHKh2a30DoXe8/edit?usp=sharing"",""กระบี่!J403"")"),0)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IFERROR(__xludf.DUMMYFUNCTION("IMPORTRANGE(""https://docs.google.com/spreadsheets/d/1IYY_tgx_IHuhSq3AJ5eI5OnqOPBNLWSHKh2a30DoXe8/edit?usp=sharing"",""กระบี่!I404"")"),0)</f>
        <v>0</v>
      </c>
      <c r="J509" s="166">
        <f ca="1">IFERROR(__xludf.DUMMYFUNCTION("IMPORTRANGE(""https://docs.google.com/spreadsheets/d/1IYY_tgx_IHuhSq3AJ5eI5OnqOPBNLWSHKh2a30DoXe8/edit?usp=sharing"",""กระบี่!J404"")"),0)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IFERROR(__xludf.DUMMYFUNCTION("IMPORTRANGE(""https://docs.google.com/spreadsheets/d/1IYY_tgx_IHuhSq3AJ5eI5OnqOPBNLWSHKh2a30DoXe8/edit?usp=sharing"",""กระบี่!I405"")"),0)</f>
        <v>0</v>
      </c>
      <c r="J510" s="204">
        <f ca="1">IFERROR(__xludf.DUMMYFUNCTION("IMPORTRANGE(""https://docs.google.com/spreadsheets/d/1IYY_tgx_IHuhSq3AJ5eI5OnqOPBNLWSHKh2a30DoXe8/edit?usp=sharing"",""กระบี่!J405"")"),0)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IFERROR(__xludf.DUMMYFUNCTION("IMPORTRANGE(""https://docs.google.com/spreadsheets/d/1IYY_tgx_IHuhSq3AJ5eI5OnqOPBNLWSHKh2a30DoXe8/edit?usp=sharing"",""กระบี่!I406"")"),0)</f>
        <v>0</v>
      </c>
      <c r="J511" s="204">
        <f ca="1">IFERROR(__xludf.DUMMYFUNCTION("IMPORTRANGE(""https://docs.google.com/spreadsheets/d/1IYY_tgx_IHuhSq3AJ5eI5OnqOPBNLWSHKh2a30DoXe8/edit?usp=sharing"",""กระบี่!J406"")"),0)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IFERROR(__xludf.DUMMYFUNCTION("IMPORTRANGE(""https://docs.google.com/spreadsheets/d/1IYY_tgx_IHuhSq3AJ5eI5OnqOPBNLWSHKh2a30DoXe8/edit?usp=sharing"",""กระบี่!I407"")"),0)</f>
        <v>0</v>
      </c>
      <c r="J512" s="204">
        <f ca="1">IFERROR(__xludf.DUMMYFUNCTION("IMPORTRANGE(""https://docs.google.com/spreadsheets/d/1IYY_tgx_IHuhSq3AJ5eI5OnqOPBNLWSHKh2a30DoXe8/edit?usp=sharing"",""กระบี่!J407"")"),0)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IFERROR(__xludf.DUMMYFUNCTION("IMPORTRANGE(""https://docs.google.com/spreadsheets/d/1IYY_tgx_IHuhSq3AJ5eI5OnqOPBNLWSHKh2a30DoXe8/edit?usp=sharing"",""กระบี่!I408"")"),0)</f>
        <v>0</v>
      </c>
      <c r="J513" s="204">
        <f ca="1">IFERROR(__xludf.DUMMYFUNCTION("IMPORTRANGE(""https://docs.google.com/spreadsheets/d/1IYY_tgx_IHuhSq3AJ5eI5OnqOPBNLWSHKh2a30DoXe8/edit?usp=sharing"",""กระบี่!J408"")"),0)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IFERROR(__xludf.DUMMYFUNCTION("IMPORTRANGE(""https://docs.google.com/spreadsheets/d/1IYY_tgx_IHuhSq3AJ5eI5OnqOPBNLWSHKh2a30DoXe8/edit?usp=sharing"",""กระบี่!I409"")"),0)</f>
        <v>0</v>
      </c>
      <c r="J514" s="204">
        <f ca="1">IFERROR(__xludf.DUMMYFUNCTION("IMPORTRANGE(""https://docs.google.com/spreadsheets/d/1IYY_tgx_IHuhSq3AJ5eI5OnqOPBNLWSHKh2a30DoXe8/edit?usp=sharing"",""กระบี่!J409"")"),0)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IFERROR(__xludf.DUMMYFUNCTION("IMPORTRANGE(""https://docs.google.com/spreadsheets/d/1IYY_tgx_IHuhSq3AJ5eI5OnqOPBNLWSHKh2a30DoXe8/edit?usp=sharing"",""กระบี่!I410"")"),0)</f>
        <v>0</v>
      </c>
      <c r="J515" s="204">
        <f ca="1">IFERROR(__xludf.DUMMYFUNCTION("IMPORTRANGE(""https://docs.google.com/spreadsheets/d/1IYY_tgx_IHuhSq3AJ5eI5OnqOPBNLWSHKh2a30DoXe8/edit?usp=sharing"",""กระบี่!J410"")"),0)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IFERROR(__xludf.DUMMYFUNCTION("IMPORTRANGE(""https://docs.google.com/spreadsheets/d/1IYY_tgx_IHuhSq3AJ5eI5OnqOPBNLWSHKh2a30DoXe8/edit?usp=sharing"",""กระบี่!I411"")"),0)</f>
        <v>0</v>
      </c>
      <c r="J516" s="273">
        <f ca="1">IFERROR(__xludf.DUMMYFUNCTION("IMPORTRANGE(""https://docs.google.com/spreadsheets/d/1IYY_tgx_IHuhSq3AJ5eI5OnqOPBNLWSHKh2a30DoXe8/edit?usp=sharing"",""กระบี่!J411"")"),0)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IFERROR(__xludf.DUMMYFUNCTION("IMPORTRANGE(""https://docs.google.com/spreadsheets/d/1IYY_tgx_IHuhSq3AJ5eI5OnqOPBNLWSHKh2a30DoXe8/edit?usp=sharing"",""กระบี่!I414"")"),0)</f>
        <v>0</v>
      </c>
      <c r="J519" s="194">
        <f ca="1">IFERROR(__xludf.DUMMYFUNCTION("IMPORTRANGE(""https://docs.google.com/spreadsheets/d/1IYY_tgx_IHuhSq3AJ5eI5OnqOPBNLWSHKh2a30DoXe8/edit?usp=sharing"",""กระบี่!J414"")"),0)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IFERROR(__xludf.DUMMYFUNCTION("IMPORTRANGE(""https://docs.google.com/spreadsheets/d/1IYY_tgx_IHuhSq3AJ5eI5OnqOPBNLWSHKh2a30DoXe8/edit?usp=sharing"",""กระบี่!I415"")"),0)</f>
        <v>0</v>
      </c>
      <c r="J520" s="194">
        <f ca="1">IFERROR(__xludf.DUMMYFUNCTION("IMPORTRANGE(""https://docs.google.com/spreadsheets/d/1IYY_tgx_IHuhSq3AJ5eI5OnqOPBNLWSHKh2a30DoXe8/edit?usp=sharing"",""กระบี่!J415"")"),0)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IFERROR(__xludf.DUMMYFUNCTION("IMPORTRANGE(""https://docs.google.com/spreadsheets/d/1IYY_tgx_IHuhSq3AJ5eI5OnqOPBNLWSHKh2a30DoXe8/edit?usp=sharing"",""กระบี่!I416"")"),0)</f>
        <v>0</v>
      </c>
      <c r="J521" s="194">
        <f ca="1">IFERROR(__xludf.DUMMYFUNCTION("IMPORTRANGE(""https://docs.google.com/spreadsheets/d/1IYY_tgx_IHuhSq3AJ5eI5OnqOPBNLWSHKh2a30DoXe8/edit?usp=sharing"",""กระบี่!J416"")"),0)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IFERROR(__xludf.DUMMYFUNCTION("IMPORTRANGE(""https://docs.google.com/spreadsheets/d/1IYY_tgx_IHuhSq3AJ5eI5OnqOPBNLWSHKh2a30DoXe8/edit?usp=sharing"",""กระบี่!I417"")"),0)</f>
        <v>0</v>
      </c>
      <c r="J522" s="194">
        <f ca="1">IFERROR(__xludf.DUMMYFUNCTION("IMPORTRANGE(""https://docs.google.com/spreadsheets/d/1IYY_tgx_IHuhSq3AJ5eI5OnqOPBNLWSHKh2a30DoXe8/edit?usp=sharing"",""กระบี่!J417"")"),0)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IFERROR(__xludf.DUMMYFUNCTION("IMPORTRANGE(""https://docs.google.com/spreadsheets/d/1IYY_tgx_IHuhSq3AJ5eI5OnqOPBNLWSHKh2a30DoXe8/edit?usp=sharing"",""กระบี่!I418"")"),0)</f>
        <v>0</v>
      </c>
      <c r="J523" s="194">
        <f ca="1">IFERROR(__xludf.DUMMYFUNCTION("IMPORTRANGE(""https://docs.google.com/spreadsheets/d/1IYY_tgx_IHuhSq3AJ5eI5OnqOPBNLWSHKh2a30DoXe8/edit?usp=sharing"",""กระบี่!J418"")"),288)</f>
        <v>288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IFERROR(__xludf.DUMMYFUNCTION("IMPORTRANGE(""https://docs.google.com/spreadsheets/d/1IYY_tgx_IHuhSq3AJ5eI5OnqOPBNLWSHKh2a30DoXe8/edit?usp=sharing"",""กระบี่!I419"")"),0)</f>
        <v>0</v>
      </c>
      <c r="J524" s="194">
        <f ca="1">IFERROR(__xludf.DUMMYFUNCTION("IMPORTRANGE(""https://docs.google.com/spreadsheets/d/1IYY_tgx_IHuhSq3AJ5eI5OnqOPBNLWSHKh2a30DoXe8/edit?usp=sharing"",""กระบี่!J419"")"),22)</f>
        <v>22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IFERROR(__xludf.DUMMYFUNCTION("IMPORTRANGE(""https://docs.google.com/spreadsheets/d/1IYY_tgx_IHuhSq3AJ5eI5OnqOPBNLWSHKh2a30DoXe8/edit?usp=sharing"",""กระบี่!J420"")"),225)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IFERROR(__xludf.DUMMYFUNCTION("IMPORTRANGE(""https://docs.google.com/spreadsheets/d/1IYY_tgx_IHuhSq3AJ5eI5OnqOPBNLWSHKh2a30DoXe8/edit?usp=sharing"",""กระบี่!J421"")"),18)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IFERROR(__xludf.DUMMYFUNCTION("IMPORTRANGE(""https://docs.google.com/spreadsheets/d/1IYY_tgx_IHuhSq3AJ5eI5OnqOPBNLWSHKh2a30DoXe8/edit?usp=sharing"",""กระบี่!I422"")"),0)</f>
        <v>0</v>
      </c>
      <c r="J527" s="204">
        <f ca="1">IFERROR(__xludf.DUMMYFUNCTION("IMPORTRANGE(""https://docs.google.com/spreadsheets/d/1IYY_tgx_IHuhSq3AJ5eI5OnqOPBNLWSHKh2a30DoXe8/edit?usp=sharing"",""กระบี่!J422"")"),0)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IFERROR(__xludf.DUMMYFUNCTION("IMPORTRANGE(""https://docs.google.com/spreadsheets/d/1IYY_tgx_IHuhSq3AJ5eI5OnqOPBNLWSHKh2a30DoXe8/edit?usp=sharing"",""กระบี่!I423"")"),0)</f>
        <v>0</v>
      </c>
      <c r="J528" s="204">
        <f ca="1">IFERROR(__xludf.DUMMYFUNCTION("IMPORTRANGE(""https://docs.google.com/spreadsheets/d/1IYY_tgx_IHuhSq3AJ5eI5OnqOPBNLWSHKh2a30DoXe8/edit?usp=sharing"",""กระบี่!J423"")"),0)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IFERROR(__xludf.DUMMYFUNCTION("IMPORTRANGE(""https://docs.google.com/spreadsheets/d/1IYY_tgx_IHuhSq3AJ5eI5OnqOPBNLWSHKh2a30DoXe8/edit?usp=sharing"",""กระบี่!I424"")"),0)</f>
        <v>0</v>
      </c>
      <c r="J529" s="204">
        <f ca="1">IFERROR(__xludf.DUMMYFUNCTION("IMPORTRANGE(""https://docs.google.com/spreadsheets/d/1IYY_tgx_IHuhSq3AJ5eI5OnqOPBNLWSHKh2a30DoXe8/edit?usp=sharing"",""กระบี่!J424"")"),0)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IFERROR(__xludf.DUMMYFUNCTION("IMPORTRANGE(""https://docs.google.com/spreadsheets/d/1IYY_tgx_IHuhSq3AJ5eI5OnqOPBNLWSHKh2a30DoXe8/edit?usp=sharing"",""กระบี่!I425"")"),0)</f>
        <v>0</v>
      </c>
      <c r="J530" s="204">
        <f ca="1">IFERROR(__xludf.DUMMYFUNCTION("IMPORTRANGE(""https://docs.google.com/spreadsheets/d/1IYY_tgx_IHuhSq3AJ5eI5OnqOPBNLWSHKh2a30DoXe8/edit?usp=sharing"",""กระบี่!J425"")"),0)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IFERROR(__xludf.DUMMYFUNCTION("IMPORTRANGE(""https://docs.google.com/spreadsheets/d/1IYY_tgx_IHuhSq3AJ5eI5OnqOPBNLWSHKh2a30DoXe8/edit?usp=sharing"",""กระบี่!I426"")"),0)</f>
        <v>0</v>
      </c>
      <c r="J531" s="204">
        <f ca="1">IFERROR(__xludf.DUMMYFUNCTION("IMPORTRANGE(""https://docs.google.com/spreadsheets/d/1IYY_tgx_IHuhSq3AJ5eI5OnqOPBNLWSHKh2a30DoXe8/edit?usp=sharing"",""กระบี่!J426"")"),225)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IFERROR(__xludf.DUMMYFUNCTION("IMPORTRANGE(""https://docs.google.com/spreadsheets/d/1IYY_tgx_IHuhSq3AJ5eI5OnqOPBNLWSHKh2a30DoXe8/edit?usp=sharing"",""กระบี่!J427"")"),18)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IFERROR(__xludf.DUMMYFUNCTION("IMPORTRANGE(""https://docs.google.com/spreadsheets/d/1IYY_tgx_IHuhSq3AJ5eI5OnqOPBNLWSHKh2a30DoXe8/edit?usp=sharing"",""กระบี่!L428"")"),34340)</f>
        <v>34340</v>
      </c>
      <c r="M533" s="418"/>
      <c r="N533" s="418">
        <f ca="1">IFERROR(__xludf.DUMMYFUNCTION("IMPORTRANGE(""https://docs.google.com/spreadsheets/d/1IYY_tgx_IHuhSq3AJ5eI5OnqOPBNLWSHKh2a30DoXe8/edit?usp=sharing"",""กระบี่!M428"")"),34340)</f>
        <v>34340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IFERROR(__xludf.DUMMYFUNCTION("IMPORTRANGE(""https://docs.google.com/spreadsheets/d/1IYY_tgx_IHuhSq3AJ5eI5OnqOPBNLWSHKh2a30DoXe8/edit?usp=sharing"",""กระบี่!L429"")"),0)</f>
        <v>0</v>
      </c>
      <c r="M534" s="168"/>
      <c r="N534" s="175">
        <f ca="1">IFERROR(__xludf.DUMMYFUNCTION("IMPORTRANGE(""https://docs.google.com/spreadsheets/d/1IYY_tgx_IHuhSq3AJ5eI5OnqOPBNLWSHKh2a30DoXe8/edit?usp=sharing"",""กระบี่!M429"")"),0)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IFERROR(__xludf.DUMMYFUNCTION("IMPORTRANGE(""https://docs.google.com/spreadsheets/d/1IYY_tgx_IHuhSq3AJ5eI5OnqOPBNLWSHKh2a30DoXe8/edit?usp=sharing"",""กระบี่!L430"")"),34340)</f>
        <v>34340</v>
      </c>
      <c r="M535" s="169"/>
      <c r="N535" s="175">
        <f ca="1">IFERROR(__xludf.DUMMYFUNCTION("IMPORTRANGE(""https://docs.google.com/spreadsheets/d/1IYY_tgx_IHuhSq3AJ5eI5OnqOPBNLWSHKh2a30DoXe8/edit?usp=sharing"",""กระบี่!M430"")"),34340)</f>
        <v>34340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IFERROR(__xludf.DUMMYFUNCTION("IMPORTRANGE(""https://docs.google.com/spreadsheets/d/1IYY_tgx_IHuhSq3AJ5eI5OnqOPBNLWSHKh2a30DoXe8/edit?usp=sharing"",""กระบี่!L431"")"),0)</f>
        <v>0</v>
      </c>
      <c r="M536" s="175"/>
      <c r="N536" s="175">
        <f ca="1">IFERROR(__xludf.DUMMYFUNCTION("IMPORTRANGE(""https://docs.google.com/spreadsheets/d/1IYY_tgx_IHuhSq3AJ5eI5OnqOPBNLWSHKh2a30DoXe8/edit?usp=sharing"",""กระบี่!M431"")"),0)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IFERROR(__xludf.DUMMYFUNCTION("IMPORTRANGE(""https://docs.google.com/spreadsheets/d/1IYY_tgx_IHuhSq3AJ5eI5OnqOPBNLWSHKh2a30DoXe8/edit?usp=sharing"",""กระบี่!L432"")"),34340)</f>
        <v>34340</v>
      </c>
      <c r="M537" s="175"/>
      <c r="N537" s="175">
        <f ca="1">IFERROR(__xludf.DUMMYFUNCTION("IMPORTRANGE(""https://docs.google.com/spreadsheets/d/1IYY_tgx_IHuhSq3AJ5eI5OnqOPBNLWSHKh2a30DoXe8/edit?usp=sharing"",""กระบี่!M432"")"),34340)</f>
        <v>34340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IFERROR(__xludf.DUMMYFUNCTION("IMPORTRANGE(""https://docs.google.com/spreadsheets/d/1IYY_tgx_IHuhSq3AJ5eI5OnqOPBNLWSHKh2a30DoXe8/edit?usp=sharing"",""กระบี่!M433"")"),18740)</f>
        <v>18740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IFERROR(__xludf.DUMMYFUNCTION("IMPORTRANGE(""https://docs.google.com/spreadsheets/d/1IYY_tgx_IHuhSq3AJ5eI5OnqOPBNLWSHKh2a30DoXe8/edit?usp=sharing"",""กระบี่!M436"")"),15600)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IFERROR(__xludf.DUMMYFUNCTION("IMPORTRANGE(""https://docs.google.com/spreadsheets/d/1IYY_tgx_IHuhSq3AJ5eI5OnqOPBNLWSHKh2a30DoXe8/edit?usp=sharing"",""กระบี่!J438"")"),0)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IFERROR(__xludf.DUMMYFUNCTION("IMPORTRANGE(""https://docs.google.com/spreadsheets/d/1IYY_tgx_IHuhSq3AJ5eI5OnqOPBNLWSHKh2a30DoXe8/edit?usp=sharing"",""กระบี่!J439"")"),0)</f>
        <v>0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IFERROR(__xludf.DUMMYFUNCTION("IMPORTRANGE(""https://docs.google.com/spreadsheets/d/1IYY_tgx_IHuhSq3AJ5eI5OnqOPBNLWSHKh2a30DoXe8/edit?usp=sharing"",""กระบี่!J440"")"),1)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IFERROR(__xludf.DUMMYFUNCTION("IMPORTRANGE(""https://docs.google.com/spreadsheets/d/1IYY_tgx_IHuhSq3AJ5eI5OnqOPBNLWSHKh2a30DoXe8/edit?usp=sharing"",""กระบี่!J441"")"),1)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IFERROR(__xludf.DUMMYFUNCTION("IMPORTRANGE(""https://docs.google.com/spreadsheets/d/1IYY_tgx_IHuhSq3AJ5eI5OnqOPBNLWSHKh2a30DoXe8/edit?usp=sharing"",""กระบี่!I442"")"),22)</f>
        <v>22</v>
      </c>
      <c r="J547" s="195">
        <f ca="1">IFERROR(__xludf.DUMMYFUNCTION("IMPORTRANGE(""https://docs.google.com/spreadsheets/d/1IYY_tgx_IHuhSq3AJ5eI5OnqOPBNLWSHKh2a30DoXe8/edit?usp=sharing"",""กระบี่!J442"")"),22)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IFERROR(__xludf.DUMMYFUNCTION("IMPORTRANGE(""https://docs.google.com/spreadsheets/d/1IYY_tgx_IHuhSq3AJ5eI5OnqOPBNLWSHKh2a30DoXe8/edit?usp=sharing"",""กระบี่!J166"")"),0)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IFERROR(__xludf.DUMMYFUNCTION("IMPORTRANGE(""https://docs.google.com/spreadsheets/d/1IYY_tgx_IHuhSq3AJ5eI5OnqOPBNLWSHKh2a30DoXe8/edit?usp=sharing"",""กระบี่!J444"")"),1)</f>
        <v>1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IFERROR(__xludf.DUMMYFUNCTION("IMPORTRANGE(""https://docs.google.com/spreadsheets/d/1IYY_tgx_IHuhSq3AJ5eI5OnqOPBNLWSHKh2a30DoXe8/edit?usp=sharing"",""กระบี่!J445"")"),1)</f>
        <v>1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IFERROR(__xludf.DUMMYFUNCTION("IMPORTRANGE(""https://docs.google.com/spreadsheets/d/1IYY_tgx_IHuhSq3AJ5eI5OnqOPBNLWSHKh2a30DoXe8/edit?usp=sharing"",""กระบี่!L447"")"),0)</f>
        <v>0</v>
      </c>
      <c r="M552" s="168"/>
      <c r="N552" s="175">
        <f ca="1">IFERROR(__xludf.DUMMYFUNCTION("IMPORTRANGE(""https://docs.google.com/spreadsheets/d/1IYY_tgx_IHuhSq3AJ5eI5OnqOPBNLWSHKh2a30DoXe8/edit?usp=sharing"",""กระบี่!M447"")"),0)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5">
        <f ca="1">IFERROR(__xludf.DUMMYFUNCTION("IMPORTRANGE(""https://docs.google.com/spreadsheets/d/1IYY_tgx_IHuhSq3AJ5eI5OnqOPBNLWSHKh2a30DoXe8/edit?usp=sharing"",""กระบี่!M448"")"),0)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IFERROR(__xludf.DUMMYFUNCTION("IMPORTRANGE(""https://docs.google.com/spreadsheets/d/1IYY_tgx_IHuhSq3AJ5eI5OnqOPBNLWSHKh2a30DoXe8/edit?usp=sharing"",""กระบี่!L449"")"),0)</f>
        <v>0</v>
      </c>
      <c r="M554" s="175"/>
      <c r="N554" s="175">
        <f ca="1">IFERROR(__xludf.DUMMYFUNCTION("IMPORTRANGE(""https://docs.google.com/spreadsheets/d/1IYY_tgx_IHuhSq3AJ5eI5OnqOPBNLWSHKh2a30DoXe8/edit?usp=sharing"",""กระบี่!M449"")"),0)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IFERROR(__xludf.DUMMYFUNCTION("IMPORTRANGE(""https://docs.google.com/spreadsheets/d/1IYY_tgx_IHuhSq3AJ5eI5OnqOPBNLWSHKh2a30DoXe8/edit?usp=sharing"",""กระบี่!L450"")"),0)</f>
        <v>0</v>
      </c>
      <c r="M555" s="175"/>
      <c r="N555" s="175">
        <f ca="1">IFERROR(__xludf.DUMMYFUNCTION("IMPORTRANGE(""https://docs.google.com/spreadsheets/d/1IYY_tgx_IHuhSq3AJ5eI5OnqOPBNLWSHKh2a30DoXe8/edit?usp=sharing"",""กระบี่!M450"")"),0)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IFERROR(__xludf.DUMMYFUNCTION("IMPORTRANGE(""https://docs.google.com/spreadsheets/d/1IYY_tgx_IHuhSq3AJ5eI5OnqOPBNLWSHKh2a30DoXe8/edit?usp=sharing"",""กระบี่!M451"")"),0)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IFERROR(__xludf.DUMMYFUNCTION("IMPORTRANGE(""https://docs.google.com/spreadsheets/d/1IYY_tgx_IHuhSq3AJ5eI5OnqOPBNLWSHKh2a30DoXe8/edit?usp=sharing"",""กระบี่!M452"")"),0)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IFERROR(__xludf.DUMMYFUNCTION("IMPORTRANGE(""https://docs.google.com/spreadsheets/d/1IYY_tgx_IHuhSq3AJ5eI5OnqOPBNLWSHKh2a30DoXe8/edit?usp=sharing"",""กระบี่!M453"")"),0)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IFERROR(__xludf.DUMMYFUNCTION("IMPORTRANGE(""https://docs.google.com/spreadsheets/d/1IYY_tgx_IHuhSq3AJ5eI5OnqOPBNLWSHKh2a30DoXe8/edit?usp=sharing"",""กระบี่!M454"")"),0)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IFERROR(__xludf.DUMMYFUNCTION("IMPORTRANGE(""https://docs.google.com/spreadsheets/d/1IYY_tgx_IHuhSq3AJ5eI5OnqOPBNLWSHKh2a30DoXe8/edit?usp=sharing"",""กระบี่!I455"")"),0)</f>
        <v>0</v>
      </c>
      <c r="J560" s="166">
        <f ca="1">IFERROR(__xludf.DUMMYFUNCTION("IMPORTRANGE(""https://docs.google.com/spreadsheets/d/1IYY_tgx_IHuhSq3AJ5eI5OnqOPBNLWSHKh2a30DoXe8/edit?usp=sharing"",""กระบี่!J455"")"),0)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IFERROR(__xludf.DUMMYFUNCTION("IMPORTRANGE(""https://docs.google.com/spreadsheets/d/1IYY_tgx_IHuhSq3AJ5eI5OnqOPBNLWSHKh2a30DoXe8/edit?usp=sharing"",""กระบี่!I456"")"),0)</f>
        <v>0</v>
      </c>
      <c r="J561" s="210">
        <f ca="1">IFERROR(__xludf.DUMMYFUNCTION("IMPORTRANGE(""https://docs.google.com/spreadsheets/d/1IYY_tgx_IHuhSq3AJ5eI5OnqOPBNLWSHKh2a30DoXe8/edit?usp=sharing"",""กระบี่!J456"")"),0)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IFERROR(__xludf.DUMMYFUNCTION("IMPORTRANGE(""https://docs.google.com/spreadsheets/d/1IYY_tgx_IHuhSq3AJ5eI5OnqOPBNLWSHKh2a30DoXe8/edit?usp=sharing"",""กระบี่!J459"")"),2778)</f>
        <v>2778</v>
      </c>
      <c r="K564" s="378">
        <f ca="1">IF(I564&gt;0,J564*100/I564,0)</f>
        <v>252.54545454545453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IFERROR(__xludf.DUMMYFUNCTION("IMPORTRANGE(""https://docs.google.com/spreadsheets/d/1IYY_tgx_IHuhSq3AJ5eI5OnqOPBNLWSHKh2a30DoXe8/edit?usp=sharing"",""กระบี่!L460"")"),0)</f>
        <v>0</v>
      </c>
      <c r="M565" s="168"/>
      <c r="N565" s="175">
        <f ca="1">IFERROR(__xludf.DUMMYFUNCTION("IMPORTRANGE(""https://docs.google.com/spreadsheets/d/1IYY_tgx_IHuhSq3AJ5eI5OnqOPBNLWSHKh2a30DoXe8/edit?usp=sharing"",""กระบี่!M460"")"),0)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5">
        <f ca="1">IFERROR(__xludf.DUMMYFUNCTION("IMPORTRANGE(""https://docs.google.com/spreadsheets/d/1IYY_tgx_IHuhSq3AJ5eI5OnqOPBNLWSHKh2a30DoXe8/edit?usp=sharing"",""กระบี่!M461"")"),33000)</f>
        <v>33000</v>
      </c>
      <c r="O566" s="175">
        <f t="shared" ca="1" si="122"/>
        <v>26.872964169381106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IFERROR(__xludf.DUMMYFUNCTION("IMPORTRANGE(""https://docs.google.com/spreadsheets/d/1IYY_tgx_IHuhSq3AJ5eI5OnqOPBNLWSHKh2a30DoXe8/edit?usp=sharing"",""กระบี่!L462"")"),0)</f>
        <v>0</v>
      </c>
      <c r="M567" s="175"/>
      <c r="N567" s="175">
        <f ca="1">IFERROR(__xludf.DUMMYFUNCTION("IMPORTRANGE(""https://docs.google.com/spreadsheets/d/1IYY_tgx_IHuhSq3AJ5eI5OnqOPBNLWSHKh2a30DoXe8/edit?usp=sharing"",""กระบี่!M462"")"),0)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IFERROR(__xludf.DUMMYFUNCTION("IMPORTRANGE(""https://docs.google.com/spreadsheets/d/1IYY_tgx_IHuhSq3AJ5eI5OnqOPBNLWSHKh2a30DoXe8/edit?usp=sharing"",""กระบี่!L463"")"),122800)</f>
        <v>122800</v>
      </c>
      <c r="M568" s="175"/>
      <c r="N568" s="175">
        <f ca="1">IFERROR(__xludf.DUMMYFUNCTION("IMPORTRANGE(""https://docs.google.com/spreadsheets/d/1IYY_tgx_IHuhSq3AJ5eI5OnqOPBNLWSHKh2a30DoXe8/edit?usp=sharing"",""กระบี่!M463"")"),33000)</f>
        <v>33000</v>
      </c>
      <c r="O568" s="175">
        <f t="shared" ca="1" si="122"/>
        <v>26.872964169381106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IFERROR(__xludf.DUMMYFUNCTION("IMPORTRANGE(""https://docs.google.com/spreadsheets/d/1IYY_tgx_IHuhSq3AJ5eI5OnqOPBNLWSHKh2a30DoXe8/edit?usp=sharing"",""กระบี่!M464"")"),0)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IFERROR(__xludf.DUMMYFUNCTION("IMPORTRANGE(""https://docs.google.com/spreadsheets/d/1IYY_tgx_IHuhSq3AJ5eI5OnqOPBNLWSHKh2a30DoXe8/edit?usp=sharing"",""กระบี่!M465"")"),0)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IFERROR(__xludf.DUMMYFUNCTION("IMPORTRANGE(""https://docs.google.com/spreadsheets/d/1IYY_tgx_IHuhSq3AJ5eI5OnqOPBNLWSHKh2a30DoXe8/edit?usp=sharing"",""กระบี่!J468"")"),2778)</f>
        <v>2778</v>
      </c>
      <c r="K573" s="208">
        <f ca="1">IF(I573&gt;0,J573*100/I573,0)</f>
        <v>252.54545454545453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IFERROR(__xludf.DUMMYFUNCTION("IMPORTRANGE(""https://docs.google.com/spreadsheets/d/1IYY_tgx_IHuhSq3AJ5eI5OnqOPBNLWSHKh2a30DoXe8/edit?usp=sharing"",""กระบี่!I470"")"),0)</f>
        <v>0</v>
      </c>
      <c r="J575" s="204">
        <f ca="1">IFERROR(__xludf.DUMMYFUNCTION("IMPORTRANGE(""https://docs.google.com/spreadsheets/d/1IYY_tgx_IHuhSq3AJ5eI5OnqOPBNLWSHKh2a30DoXe8/edit?usp=sharing"",""กระบี่!J470"")"),5)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IFERROR(__xludf.DUMMYFUNCTION("IMPORTRANGE(""https://docs.google.com/spreadsheets/d/1IYY_tgx_IHuhSq3AJ5eI5OnqOPBNLWSHKh2a30DoXe8/edit?usp=sharing"",""กระบี่!I471"")"),0)</f>
        <v>0</v>
      </c>
      <c r="J576" s="204">
        <f ca="1">IFERROR(__xludf.DUMMYFUNCTION("IMPORTRANGE(""https://docs.google.com/spreadsheets/d/1IYY_tgx_IHuhSq3AJ5eI5OnqOPBNLWSHKh2a30DoXe8/edit?usp=sharing"",""กระบี่!J471"")"),108)</f>
        <v>108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IFERROR(__xludf.DUMMYFUNCTION("IMPORTRANGE(""https://docs.google.com/spreadsheets/d/1IYY_tgx_IHuhSq3AJ5eI5OnqOPBNLWSHKh2a30DoXe8/edit?usp=sharing"",""กระบี่!I472"")"),0)</f>
        <v>0</v>
      </c>
      <c r="J577" s="195">
        <f ca="1">IFERROR(__xludf.DUMMYFUNCTION("IMPORTRANGE(""https://docs.google.com/spreadsheets/d/1IYY_tgx_IHuhSq3AJ5eI5OnqOPBNLWSHKh2a30DoXe8/edit?usp=sharing"",""กระบี่!J472"")"),2670)</f>
        <v>2670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IFERROR(__xludf.DUMMYFUNCTION("IMPORTRANGE(""https://docs.google.com/spreadsheets/d/1IYY_tgx_IHuhSq3AJ5eI5OnqOPBNLWSHKh2a30DoXe8/edit?usp=sharing"",""กระบี่!I473"")"),0)</f>
        <v>0</v>
      </c>
      <c r="J578" s="204">
        <f ca="1">IFERROR(__xludf.DUMMYFUNCTION("IMPORTRANGE(""https://docs.google.com/spreadsheets/d/1IYY_tgx_IHuhSq3AJ5eI5OnqOPBNLWSHKh2a30DoXe8/edit?usp=sharing"",""กระบี่!J473"")"),0)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IFERROR(__xludf.DUMMYFUNCTION("IMPORTRANGE(""https://docs.google.com/spreadsheets/d/1IYY_tgx_IHuhSq3AJ5eI5OnqOPBNLWSHKh2a30DoXe8/edit?usp=sharing"",""กระบี่!I474"")"),0)</f>
        <v>0</v>
      </c>
      <c r="J579" s="204">
        <f ca="1">IFERROR(__xludf.DUMMYFUNCTION("IMPORTRANGE(""https://docs.google.com/spreadsheets/d/1IYY_tgx_IHuhSq3AJ5eI5OnqOPBNLWSHKh2a30DoXe8/edit?usp=sharing"",""กระบี่!J474"")"),0)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IFERROR(__xludf.DUMMYFUNCTION("IMPORTRANGE(""https://docs.google.com/spreadsheets/d/1IYY_tgx_IHuhSq3AJ5eI5OnqOPBNLWSHKh2a30DoXe8/edit?usp=sharing"",""กระบี่!L475"")"),49000)</f>
        <v>49000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IFERROR(__xludf.DUMMYFUNCTION("IMPORTRANGE(""https://docs.google.com/spreadsheets/d/1IYY_tgx_IHuhSq3AJ5eI5OnqOPBNLWSHKh2a30DoXe8/edit?usp=sharing"",""กระบี่!L476"")"),0)</f>
        <v>0</v>
      </c>
      <c r="M581" s="168"/>
      <c r="N581" s="175">
        <f ca="1">IFERROR(__xludf.DUMMYFUNCTION("IMPORTRANGE(""https://docs.google.com/spreadsheets/d/1IYY_tgx_IHuhSq3AJ5eI5OnqOPBNLWSHKh2a30DoXe8/edit?usp=sharing"",""กระบี่!M476"")"),0)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IFERROR(__xludf.DUMMYFUNCTION("IMPORTRANGE(""https://docs.google.com/spreadsheets/d/1IYY_tgx_IHuhSq3AJ5eI5OnqOPBNLWSHKh2a30DoXe8/edit?usp=sharing"",""กระบี่!L477"")"),49000)</f>
        <v>49000</v>
      </c>
      <c r="M582" s="169"/>
      <c r="N582" s="175">
        <f ca="1">IFERROR(__xludf.DUMMYFUNCTION("IMPORTRANGE(""https://docs.google.com/spreadsheets/d/1IYY_tgx_IHuhSq3AJ5eI5OnqOPBNLWSHKh2a30DoXe8/edit?usp=sharing"",""กระบี่!M477"")"),0)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IFERROR(__xludf.DUMMYFUNCTION("IMPORTRANGE(""https://docs.google.com/spreadsheets/d/1IYY_tgx_IHuhSq3AJ5eI5OnqOPBNLWSHKh2a30DoXe8/edit?usp=sharing"",""กระบี่!L478"")"),0)</f>
        <v>0</v>
      </c>
      <c r="M583" s="175"/>
      <c r="N583" s="175">
        <f ca="1">IFERROR(__xludf.DUMMYFUNCTION("IMPORTRANGE(""https://docs.google.com/spreadsheets/d/1IYY_tgx_IHuhSq3AJ5eI5OnqOPBNLWSHKh2a30DoXe8/edit?usp=sharing"",""กระบี่!M478"")"),0)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IFERROR(__xludf.DUMMYFUNCTION("IMPORTRANGE(""https://docs.google.com/spreadsheets/d/1IYY_tgx_IHuhSq3AJ5eI5OnqOPBNLWSHKh2a30DoXe8/edit?usp=sharing"",""กระบี่!L479"")"),49000)</f>
        <v>49000</v>
      </c>
      <c r="M584" s="175"/>
      <c r="N584" s="175">
        <f ca="1">IFERROR(__xludf.DUMMYFUNCTION("IMPORTRANGE(""https://docs.google.com/spreadsheets/d/1IYY_tgx_IHuhSq3AJ5eI5OnqOPBNLWSHKh2a30DoXe8/edit?usp=sharing"",""กระบี่!M479"")"),0)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IFERROR(__xludf.DUMMYFUNCTION("IMPORTRANGE(""https://docs.google.com/spreadsheets/d/1IYY_tgx_IHuhSq3AJ5eI5OnqOPBNLWSHKh2a30DoXe8/edit?usp=sharing"",""กระบี่!M480"")"),0)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IFERROR(__xludf.DUMMYFUNCTION("IMPORTRANGE(""https://docs.google.com/spreadsheets/d/1IYY_tgx_IHuhSq3AJ5eI5OnqOPBNLWSHKh2a30DoXe8/edit?usp=sharing"",""กระบี่!M481"")"),0)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IFERROR(__xludf.DUMMYFUNCTION("IMPORTRANGE(""https://docs.google.com/spreadsheets/d/1IYY_tgx_IHuhSq3AJ5eI5OnqOPBNLWSHKh2a30DoXe8/edit?usp=sharing"",""กระบี่!M482"")"),0)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IFERROR(__xludf.DUMMYFUNCTION("IMPORTRANGE(""https://docs.google.com/spreadsheets/d/1IYY_tgx_IHuhSq3AJ5eI5OnqOPBNLWSHKh2a30DoXe8/edit?usp=sharing"",""กระบี่!M483"")"),0)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4">
        <f ca="1">IFERROR(__xludf.DUMMYFUNCTION("IMPORTRANGE(""https://docs.google.com/spreadsheets/d/1IYY_tgx_IHuhSq3AJ5eI5OnqOPBNLWSHKh2a30DoXe8/edit?usp=sharing"",""กระบี่!J484"")"),0)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4">
        <f ca="1">IFERROR(__xludf.DUMMYFUNCTION("IMPORTRANGE(""https://docs.google.com/spreadsheets/d/1IYY_tgx_IHuhSq3AJ5eI5OnqOPBNLWSHKh2a30DoXe8/edit?usp=sharing"",""กระบี่!J485"")"),0)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4">
        <f ca="1">IFERROR(__xludf.DUMMYFUNCTION("IMPORTRANGE(""https://docs.google.com/spreadsheets/d/1IYY_tgx_IHuhSq3AJ5eI5OnqOPBNLWSHKh2a30DoXe8/edit?usp=sharing"",""กระบี่!J486"")"),0)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4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4">
        <f ca="1">IFERROR(__xludf.DUMMYFUNCTION("IMPORTRANGE(""https://docs.google.com/spreadsheets/d/1IYY_tgx_IHuhSq3AJ5eI5OnqOPBNLWSHKh2a30DoXe8/edit?usp=sharing"",""กระบี่!J488"")"),0)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4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4">
        <f ca="1">IFERROR(__xludf.DUMMYFUNCTION("IMPORTRANGE(""https://docs.google.com/spreadsheets/d/1IYY_tgx_IHuhSq3AJ5eI5OnqOPBNLWSHKh2a30DoXe8/edit?usp=sharing"",""กระบี่!J490"")"),0)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IFERROR(__xludf.DUMMYFUNCTION("IMPORTRANGE(""https://docs.google.com/spreadsheets/d/1IYY_tgx_IHuhSq3AJ5eI5OnqOPBNLWSHKh2a30DoXe8/edit?usp=sharing"",""กระบี่!I491"")"),0)</f>
        <v>0</v>
      </c>
      <c r="J596" s="247">
        <f ca="1">IFERROR(__xludf.DUMMYFUNCTION("IMPORTRANGE(""https://docs.google.com/spreadsheets/d/1IYY_tgx_IHuhSq3AJ5eI5OnqOPBNLWSHKh2a30DoXe8/edit?usp=sharing"",""กระบี่!J491"")"),0)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4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IFERROR(__xludf.DUMMYFUNCTION("IMPORTRANGE(""https://docs.google.com/spreadsheets/d/1IYY_tgx_IHuhSq3AJ5eI5OnqOPBNLWSHKh2a30DoXe8/edit?usp=sharing"",""กระบี่!L492"")"),26140)</f>
        <v>26140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9.946442234123948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IFERROR(__xludf.DUMMYFUNCTION("IMPORTRANGE(""https://docs.google.com/spreadsheets/d/1IYY_tgx_IHuhSq3AJ5eI5OnqOPBNLWSHKh2a30DoXe8/edit?usp=sharing"",""กระบี่!L493"")"),0)</f>
        <v>0</v>
      </c>
      <c r="M598" s="168"/>
      <c r="N598" s="175">
        <f ca="1">IFERROR(__xludf.DUMMYFUNCTION("IMPORTRANGE(""https://docs.google.com/spreadsheets/d/1IYY_tgx_IHuhSq3AJ5eI5OnqOPBNLWSHKh2a30DoXe8/edit?usp=sharing"",""กระบี่!M493"")"),0)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IFERROR(__xludf.DUMMYFUNCTION("IMPORTRANGE(""https://docs.google.com/spreadsheets/d/1IYY_tgx_IHuhSq3AJ5eI5OnqOPBNLWSHKh2a30DoXe8/edit?usp=sharing"",""กระบี่!L494"")"),26140)</f>
        <v>26140</v>
      </c>
      <c r="M599" s="169"/>
      <c r="N599" s="175">
        <f ca="1">IFERROR(__xludf.DUMMYFUNCTION("IMPORTRANGE(""https://docs.google.com/spreadsheets/d/1IYY_tgx_IHuhSq3AJ5eI5OnqOPBNLWSHKh2a30DoXe8/edit?usp=sharing"",""กระบี่!M494"")"),2600)</f>
        <v>2600</v>
      </c>
      <c r="O599" s="175">
        <f t="shared" ca="1" si="126"/>
        <v>9.946442234123948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IFERROR(__xludf.DUMMYFUNCTION("IMPORTRANGE(""https://docs.google.com/spreadsheets/d/1IYY_tgx_IHuhSq3AJ5eI5OnqOPBNLWSHKh2a30DoXe8/edit?usp=sharing"",""กระบี่!L495"")"),0)</f>
        <v>0</v>
      </c>
      <c r="M600" s="175"/>
      <c r="N600" s="175">
        <f ca="1">IFERROR(__xludf.DUMMYFUNCTION("IMPORTRANGE(""https://docs.google.com/spreadsheets/d/1IYY_tgx_IHuhSq3AJ5eI5OnqOPBNLWSHKh2a30DoXe8/edit?usp=sharing"",""กระบี่!M495"")"),0)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IFERROR(__xludf.DUMMYFUNCTION("IMPORTRANGE(""https://docs.google.com/spreadsheets/d/1IYY_tgx_IHuhSq3AJ5eI5OnqOPBNLWSHKh2a30DoXe8/edit?usp=sharing"",""กระบี่!L496"")"),26140)</f>
        <v>26140</v>
      </c>
      <c r="M601" s="175"/>
      <c r="N601" s="175">
        <f ca="1">IFERROR(__xludf.DUMMYFUNCTION("IMPORTRANGE(""https://docs.google.com/spreadsheets/d/1IYY_tgx_IHuhSq3AJ5eI5OnqOPBNLWSHKh2a30DoXe8/edit?usp=sharing"",""กระบี่!M496"")"),2600)</f>
        <v>2600</v>
      </c>
      <c r="O601" s="175">
        <f t="shared" ca="1" si="126"/>
        <v>9.946442234123948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IFERROR(__xludf.DUMMYFUNCTION("IMPORTRANGE(""https://docs.google.com/spreadsheets/d/1IYY_tgx_IHuhSq3AJ5eI5OnqOPBNLWSHKh2a30DoXe8/edit?usp=sharing"",""กระบี่!M497"")"),0)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IFERROR(__xludf.DUMMYFUNCTION("IMPORTRANGE(""https://docs.google.com/spreadsheets/d/1IYY_tgx_IHuhSq3AJ5eI5OnqOPBNLWSHKh2a30DoXe8/edit?usp=sharing"",""กระบี่!M498"")"),0)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IFERROR(__xludf.DUMMYFUNCTION("IMPORTRANGE(""https://docs.google.com/spreadsheets/d/1IYY_tgx_IHuhSq3AJ5eI5OnqOPBNLWSHKh2a30DoXe8/edit?usp=sharing"",""กระบี่!J502"")"),0)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IFERROR(__xludf.DUMMYFUNCTION("IMPORTRANGE(""https://docs.google.com/spreadsheets/d/1IYY_tgx_IHuhSq3AJ5eI5OnqOPBNLWSHKh2a30DoXe8/edit?usp=sharing"",""กระบี่!J503"")"),1)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IFERROR(__xludf.DUMMYFUNCTION("IMPORTRANGE(""https://docs.google.com/spreadsheets/d/1IYY_tgx_IHuhSq3AJ5eI5OnqOPBNLWSHKh2a30DoXe8/edit?usp=sharing"",""กระบี่!J166"")"),0)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IFERROR(__xludf.DUMMYFUNCTION("IMPORTRANGE(""https://docs.google.com/spreadsheets/d/1IYY_tgx_IHuhSq3AJ5eI5OnqOPBNLWSHKh2a30DoXe8/edit?usp=sharing"",""กระบี่!J166"")"),0)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IFERROR(__xludf.DUMMYFUNCTION("IMPORTRANGE(""https://docs.google.com/spreadsheets/d/1IYY_tgx_IHuhSq3AJ5eI5OnqOPBNLWSHKh2a30DoXe8/edit?usp=sharing"",""กระบี่!I506"")"),428)</f>
        <v>428</v>
      </c>
      <c r="J611" s="166">
        <f ca="1">IFERROR(__xludf.DUMMYFUNCTION("IMPORTRANGE(""https://docs.google.com/spreadsheets/d/1IYY_tgx_IHuhSq3AJ5eI5OnqOPBNLWSHKh2a30DoXe8/edit?usp=sharing"",""กระบี่!J506"")"),0)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IFERROR(__xludf.DUMMYFUNCTION("IMPORTRANGE(""https://docs.google.com/spreadsheets/d/1IYY_tgx_IHuhSq3AJ5eI5OnqOPBNLWSHKh2a30DoXe8/edit?usp=sharing"",""กระบี่!I507"")"),0)</f>
        <v>0</v>
      </c>
      <c r="J612" s="204">
        <f ca="1">IFERROR(__xludf.DUMMYFUNCTION("IMPORTRANGE(""https://docs.google.com/spreadsheets/d/1IYY_tgx_IHuhSq3AJ5eI5OnqOPBNLWSHKh2a30DoXe8/edit?usp=sharing"",""กระบี่!J507"")"),0)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IFERROR(__xludf.DUMMYFUNCTION("IMPORTRANGE(""https://docs.google.com/spreadsheets/d/1IYY_tgx_IHuhSq3AJ5eI5OnqOPBNLWSHKh2a30DoXe8/edit?usp=sharing"",""กระบี่!I508"")"),0)</f>
        <v>0</v>
      </c>
      <c r="J613" s="204">
        <f ca="1">IFERROR(__xludf.DUMMYFUNCTION("IMPORTRANGE(""https://docs.google.com/spreadsheets/d/1IYY_tgx_IHuhSq3AJ5eI5OnqOPBNLWSHKh2a30DoXe8/edit?usp=sharing"",""กระบี่!J508"")"),0)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IFERROR(__xludf.DUMMYFUNCTION("IMPORTRANGE(""https://docs.google.com/spreadsheets/d/1IYY_tgx_IHuhSq3AJ5eI5OnqOPBNLWSHKh2a30DoXe8/edit?usp=sharing"",""กระบี่!I509"")"),0)</f>
        <v>0</v>
      </c>
      <c r="J614" s="204">
        <f ca="1">IFERROR(__xludf.DUMMYFUNCTION("IMPORTRANGE(""https://docs.google.com/spreadsheets/d/1IYY_tgx_IHuhSq3AJ5eI5OnqOPBNLWSHKh2a30DoXe8/edit?usp=sharing"",""กระบี่!J509"")"),0)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IFERROR(__xludf.DUMMYFUNCTION("IMPORTRANGE(""https://docs.google.com/spreadsheets/d/1IYY_tgx_IHuhSq3AJ5eI5OnqOPBNLWSHKh2a30DoXe8/edit?usp=sharing"",""กระบี่!I510"")"),0)</f>
        <v>0</v>
      </c>
      <c r="J615" s="204">
        <f ca="1">IFERROR(__xludf.DUMMYFUNCTION("IMPORTRANGE(""https://docs.google.com/spreadsheets/d/1IYY_tgx_IHuhSq3AJ5eI5OnqOPBNLWSHKh2a30DoXe8/edit?usp=sharing"",""กระบี่!J510"")"),0)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IFERROR(__xludf.DUMMYFUNCTION("IMPORTRANGE(""https://docs.google.com/spreadsheets/d/1IYY_tgx_IHuhSq3AJ5eI5OnqOPBNLWSHKh2a30DoXe8/edit?usp=sharing"",""กระบี่!I511"")"),0)</f>
        <v>0</v>
      </c>
      <c r="J616" s="204">
        <f ca="1">IFERROR(__xludf.DUMMYFUNCTION("IMPORTRANGE(""https://docs.google.com/spreadsheets/d/1IYY_tgx_IHuhSq3AJ5eI5OnqOPBNLWSHKh2a30DoXe8/edit?usp=sharing"",""กระบี่!J511"")"),0)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IFERROR(__xludf.DUMMYFUNCTION("IMPORTRANGE(""https://docs.google.com/spreadsheets/d/1IYY_tgx_IHuhSq3AJ5eI5OnqOPBNLWSHKh2a30DoXe8/edit?usp=sharing"",""กระบี่!I512"")"),0)</f>
        <v>0</v>
      </c>
      <c r="J617" s="194">
        <f ca="1">IFERROR(__xludf.DUMMYFUNCTION("IMPORTRANGE(""https://docs.google.com/spreadsheets/d/1IYY_tgx_IHuhSq3AJ5eI5OnqOPBNLWSHKh2a30DoXe8/edit?usp=sharing"",""กระบี่!J512"")"),0)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IFERROR(__xludf.DUMMYFUNCTION("IMPORTRANGE(""https://docs.google.com/spreadsheets/d/1IYY_tgx_IHuhSq3AJ5eI5OnqOPBNLWSHKh2a30DoXe8/edit?usp=sharing"",""กระบี่!I513"")"),0)</f>
        <v>0</v>
      </c>
      <c r="J618" s="195">
        <f ca="1">IFERROR(__xludf.DUMMYFUNCTION("IMPORTRANGE(""https://docs.google.com/spreadsheets/d/1IYY_tgx_IHuhSq3AJ5eI5OnqOPBNLWSHKh2a30DoXe8/edit?usp=sharing"",""กระบี่!J513"")"),0)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IFERROR(__xludf.DUMMYFUNCTION("IMPORTRANGE(""https://docs.google.com/spreadsheets/d/1IYY_tgx_IHuhSq3AJ5eI5OnqOPBNLWSHKh2a30DoXe8/edit?usp=sharing"",""กระบี่!I514"")"),0)</f>
        <v>0</v>
      </c>
      <c r="J619" s="195">
        <f ca="1">IFERROR(__xludf.DUMMYFUNCTION("IMPORTRANGE(""https://docs.google.com/spreadsheets/d/1IYY_tgx_IHuhSq3AJ5eI5OnqOPBNLWSHKh2a30DoXe8/edit?usp=sharing"",""กระบี่!J514"")"),0)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IFERROR(__xludf.DUMMYFUNCTION("IMPORTRANGE(""https://docs.google.com/spreadsheets/d/1IYY_tgx_IHuhSq3AJ5eI5OnqOPBNLWSHKh2a30DoXe8/edit?usp=sharing"",""กระบี่!I515"")"),0)</f>
        <v>0</v>
      </c>
      <c r="J620" s="209">
        <f ca="1">IFERROR(__xludf.DUMMYFUNCTION("IMPORTRANGE(""https://docs.google.com/spreadsheets/d/1IYY_tgx_IHuhSq3AJ5eI5OnqOPBNLWSHKh2a30DoXe8/edit?usp=sharing"",""กระบี่!J515"")"),0)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IFERROR(__xludf.DUMMYFUNCTION("IMPORTRANGE(""https://docs.google.com/spreadsheets/d/1IYY_tgx_IHuhSq3AJ5eI5OnqOPBNLWSHKh2a30DoXe8/edit?usp=sharing"",""กระบี่!I516"")"),0)</f>
        <v>0</v>
      </c>
      <c r="J621" s="209">
        <f ca="1">IFERROR(__xludf.DUMMYFUNCTION("IMPORTRANGE(""https://docs.google.com/spreadsheets/d/1IYY_tgx_IHuhSq3AJ5eI5OnqOPBNLWSHKh2a30DoXe8/edit?usp=sharing"",""กระบี่!J516"")"),0)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IFERROR(__xludf.DUMMYFUNCTION("IMPORTRANGE(""https://docs.google.com/spreadsheets/d/1IYY_tgx_IHuhSq3AJ5eI5OnqOPBNLWSHKh2a30DoXe8/edit?usp=sharing"",""กระบี่!I517"")"),0)</f>
        <v>0</v>
      </c>
      <c r="J622" s="195">
        <f ca="1">IFERROR(__xludf.DUMMYFUNCTION("IMPORTRANGE(""https://docs.google.com/spreadsheets/d/1IYY_tgx_IHuhSq3AJ5eI5OnqOPBNLWSHKh2a30DoXe8/edit?usp=sharing"",""กระบี่!J517"")"),0)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IFERROR(__xludf.DUMMYFUNCTION("IMPORTRANGE(""https://docs.google.com/spreadsheets/d/1IYY_tgx_IHuhSq3AJ5eI5OnqOPBNLWSHKh2a30DoXe8/edit?usp=sharing"",""กระบี่!I518"")"),0)</f>
        <v>0</v>
      </c>
      <c r="J623" s="195">
        <f ca="1">IFERROR(__xludf.DUMMYFUNCTION("IMPORTRANGE(""https://docs.google.com/spreadsheets/d/1IYY_tgx_IHuhSq3AJ5eI5OnqOPBNLWSHKh2a30DoXe8/edit?usp=sharing"",""กระบี่!J518"")"),0)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IFERROR(__xludf.DUMMYFUNCTION("IMPORTRANGE(""https://docs.google.com/spreadsheets/d/1IYY_tgx_IHuhSq3AJ5eI5OnqOPBNLWSHKh2a30DoXe8/edit?usp=sharing"",""กระบี่!I519"")"),0)</f>
        <v>0</v>
      </c>
      <c r="J624" s="194">
        <f ca="1">IFERROR(__xludf.DUMMYFUNCTION("IMPORTRANGE(""https://docs.google.com/spreadsheets/d/1IYY_tgx_IHuhSq3AJ5eI5OnqOPBNLWSHKh2a30DoXe8/edit?usp=sharing"",""กระบี่!J519"")"),0)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IFERROR(__xludf.DUMMYFUNCTION("IMPORTRANGE(""https://docs.google.com/spreadsheets/d/1IYY_tgx_IHuhSq3AJ5eI5OnqOPBNLWSHKh2a30DoXe8/edit?usp=sharing"",""กระบี่!I520"")"),0)</f>
        <v>0</v>
      </c>
      <c r="J625" s="195">
        <f ca="1">IFERROR(__xludf.DUMMYFUNCTION("IMPORTRANGE(""https://docs.google.com/spreadsheets/d/1IYY_tgx_IHuhSq3AJ5eI5OnqOPBNLWSHKh2a30DoXe8/edit?usp=sharing"",""กระบี่!J520"")"),0)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IFERROR(__xludf.DUMMYFUNCTION("IMPORTRANGE(""https://docs.google.com/spreadsheets/d/1IYY_tgx_IHuhSq3AJ5eI5OnqOPBNLWSHKh2a30DoXe8/edit?usp=sharing"",""กระบี่!I521"")"),0)</f>
        <v>0</v>
      </c>
      <c r="J626" s="195">
        <f ca="1">IFERROR(__xludf.DUMMYFUNCTION("IMPORTRANGE(""https://docs.google.com/spreadsheets/d/1IYY_tgx_IHuhSq3AJ5eI5OnqOPBNLWSHKh2a30DoXe8/edit?usp=sharing"",""กระบี่!J521"")"),0)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IFERROR(__xludf.DUMMYFUNCTION("IMPORTRANGE(""https://docs.google.com/spreadsheets/d/1IYY_tgx_IHuhSq3AJ5eI5OnqOPBNLWSHKh2a30DoXe8/edit?usp=sharing"",""กระบี่!I523"")"),220041)</f>
        <v>220041</v>
      </c>
      <c r="J628" s="347">
        <f ca="1">IFERROR(__xludf.DUMMYFUNCTION("IMPORTRANGE(""https://docs.google.com/spreadsheets/d/1IYY_tgx_IHuhSq3AJ5eI5OnqOPBNLWSHKh2a30DoXe8/edit?usp=sharing"",""กระบี่!J523"")"),380042.95)</f>
        <v>380042.95</v>
      </c>
      <c r="K628" s="348">
        <f t="shared" ref="K628:K635" ca="1" si="129">IF(I628&gt;0,J628*100/I628,0)</f>
        <v>172.71460773219536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IFERROR(__xludf.DUMMYFUNCTION("IMPORTRANGE(""https://docs.google.com/spreadsheets/d/1IYY_tgx_IHuhSq3AJ5eI5OnqOPBNLWSHKh2a30DoXe8/edit?usp=sharing"",""กระบี่!J524"")"),27)</f>
        <v>27</v>
      </c>
      <c r="K629" s="348">
        <f t="shared" ca="1" si="129"/>
        <v>122.72727272727273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7">
        <f ca="1">IFERROR(__xludf.DUMMYFUNCTION("IMPORTRANGE(""https://docs.google.com/spreadsheets/d/1IYY_tgx_IHuhSq3AJ5eI5OnqOPBNLWSHKh2a30DoXe8/edit?usp=sharing"",""กระบี่!J525"")"),1668814.74)</f>
        <v>1668814.74</v>
      </c>
      <c r="K630" s="348">
        <f t="shared" ca="1" si="129"/>
        <v>26.089333472412683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IFERROR(__xludf.DUMMYFUNCTION("IMPORTRANGE(""https://docs.google.com/spreadsheets/d/1IYY_tgx_IHuhSq3AJ5eI5OnqOPBNLWSHKh2a30DoXe8/edit?usp=sharing"",""กระบี่!J526"")"),119)</f>
        <v>119</v>
      </c>
      <c r="K631" s="348">
        <f t="shared" ca="1" si="129"/>
        <v>67.61363636363636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IFERROR(__xludf.DUMMYFUNCTION("IMPORTRANGE(""https://docs.google.com/spreadsheets/d/1IYY_tgx_IHuhSq3AJ5eI5OnqOPBNLWSHKh2a30DoXe8/edit?usp=sharing"",""กระบี่!J527"")"),59989.58)</f>
        <v>59989.58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IFERROR(__xludf.DUMMYFUNCTION("IMPORTRANGE(""https://docs.google.com/spreadsheets/d/1IYY_tgx_IHuhSq3AJ5eI5OnqOPBNLWSHKh2a30DoXe8/edit?usp=sharing"",""กระบี่!J528"")"),15)</f>
        <v>15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IFERROR(__xludf.DUMMYFUNCTION("IMPORTRANGE(""https://docs.google.com/spreadsheets/d/1IYY_tgx_IHuhSq3AJ5eI5OnqOPBNLWSHKh2a30DoXe8/edit?usp=sharing"",""กระบี่!J529"")"),200000)</f>
        <v>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565"/>
      <c r="B635" s="566"/>
      <c r="C635" s="566"/>
      <c r="D635" s="567"/>
      <c r="E635" s="568"/>
      <c r="F635" s="568"/>
      <c r="G635" s="569"/>
      <c r="H635" s="570" t="s">
        <v>37</v>
      </c>
      <c r="I635" s="404">
        <f ca="1">IFERROR(__xludf.DUMMYFUNCTION("IMPORTRANGE(""https://docs.google.com/spreadsheets/d/1IYY_tgx_IHuhSq3AJ5eI5OnqOPBNLWSHKh2a30DoXe8/edit?usp=sharing"",""กระบี่!I530"")"),4)</f>
        <v>4</v>
      </c>
      <c r="J635" s="404">
        <f ca="1">IFERROR(__xludf.DUMMYFUNCTION("IMPORTRANGE(""https://docs.google.com/spreadsheets/d/1IYY_tgx_IHuhSq3AJ5eI5OnqOPBNLWSHKh2a30DoXe8/edit?usp=sharing"",""กระบี่!J530"")"),4)</f>
        <v>4</v>
      </c>
      <c r="K635" s="357">
        <f t="shared" ca="1" si="129"/>
        <v>100</v>
      </c>
      <c r="L635" s="357"/>
      <c r="M635" s="357"/>
      <c r="N635" s="357"/>
      <c r="O635" s="250"/>
      <c r="P635" s="250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IFERROR(__xludf.DUMMYFUNCTION("IMPORTRANGE(""https://docs.google.com/spreadsheets/d/1IYY_tgx_IHuhSq3AJ5eI5OnqOPBNLWSHKh2a30DoXe8/edit?usp=sharing"",""กระบี่!J541"")"),0)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IFERROR(__xludf.DUMMYFUNCTION("IMPORTRANGE(""https://docs.google.com/spreadsheets/d/1IYY_tgx_IHuhSq3AJ5eI5OnqOPBNLWSHKh2a30DoXe8/edit?usp=sharing"",""กระบี่!J542"")"),0)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IFERROR(__xludf.DUMMYFUNCTION("IMPORTRANGE(""https://docs.google.com/spreadsheets/d/1IYY_tgx_IHuhSq3AJ5eI5OnqOPBNLWSHKh2a30DoXe8/edit?usp=sharing"",""กระบี่!I543"")"),0)</f>
        <v>0</v>
      </c>
      <c r="J648" s="547">
        <f ca="1">IFERROR(__xludf.DUMMYFUNCTION("IMPORTRANGE(""https://docs.google.com/spreadsheets/d/1IYY_tgx_IHuhSq3AJ5eI5OnqOPBNLWSHKh2a30DoXe8/edit?usp=sharing"",""กระบี่!J543"")"),0)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IFERROR(__xludf.DUMMYFUNCTION("IMPORTRANGE(""https://docs.google.com/spreadsheets/d/1IYY_tgx_IHuhSq3AJ5eI5OnqOPBNLWSHKh2a30DoXe8/edit?usp=sharing"",""กระบี่!L543"")"),0)</f>
        <v>0</v>
      </c>
      <c r="M648" s="534"/>
      <c r="N648" s="549">
        <f ca="1">IFERROR(__xludf.DUMMYFUNCTION("IMPORTRANGE(""https://docs.google.com/spreadsheets/d/1IYY_tgx_IHuhSq3AJ5eI5OnqOPBNLWSHKh2a30DoXe8/edit?usp=sharing"",""กระบี่!M543"")"),0)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IFERROR(__xludf.DUMMYFUNCTION("IMPORTRANGE(""https://docs.google.com/spreadsheets/d/1IYY_tgx_IHuhSq3AJ5eI5OnqOPBNLWSHKh2a30DoXe8/edit?usp=sharing"",""กระบี่!I544"")"),0)</f>
        <v>0</v>
      </c>
      <c r="J649" s="547">
        <f ca="1">IFERROR(__xludf.DUMMYFUNCTION("IMPORTRANGE(""https://docs.google.com/spreadsheets/d/1IYY_tgx_IHuhSq3AJ5eI5OnqOPBNLWSHKh2a30DoXe8/edit?usp=sharing"",""กระบี่!J544"")"),0)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IFERROR(__xludf.DUMMYFUNCTION("IMPORTRANGE(""https://docs.google.com/spreadsheets/d/1IYY_tgx_IHuhSq3AJ5eI5OnqOPBNLWSHKh2a30DoXe8/edit?usp=sharing"",""กระบี่!L544"")"),0)</f>
        <v>0</v>
      </c>
      <c r="M649" s="534"/>
      <c r="N649" s="549">
        <f ca="1">IFERROR(__xludf.DUMMYFUNCTION("IMPORTRANGE(""https://docs.google.com/spreadsheets/d/1IYY_tgx_IHuhSq3AJ5eI5OnqOPBNLWSHKh2a30DoXe8/edit?usp=sharing"",""กระบี่!M544"")"),0)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IFERROR(__xludf.DUMMYFUNCTION("IMPORTRANGE(""https://docs.google.com/spreadsheets/d/1IYY_tgx_IHuhSq3AJ5eI5OnqOPBNLWSHKh2a30DoXe8/edit?usp=sharing"",""กระบี่!I545"")"),0)</f>
        <v>0</v>
      </c>
      <c r="J650" s="547">
        <f ca="1">IFERROR(__xludf.DUMMYFUNCTION("IMPORTRANGE(""https://docs.google.com/spreadsheets/d/1IYY_tgx_IHuhSq3AJ5eI5OnqOPBNLWSHKh2a30DoXe8/edit?usp=sharing"",""กระบี่!J545"")"),0)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IFERROR(__xludf.DUMMYFUNCTION("IMPORTRANGE(""https://docs.google.com/spreadsheets/d/1IYY_tgx_IHuhSq3AJ5eI5OnqOPBNLWSHKh2a30DoXe8/edit?usp=sharing"",""กระบี่!L545"")"),0)</f>
        <v>0</v>
      </c>
      <c r="M650" s="534"/>
      <c r="N650" s="549">
        <f ca="1">IFERROR(__xludf.DUMMYFUNCTION("IMPORTRANGE(""https://docs.google.com/spreadsheets/d/1IYY_tgx_IHuhSq3AJ5eI5OnqOPBNLWSHKh2a30DoXe8/edit?usp=sharing"",""กระบี่!M545"")"),0)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IFERROR(__xludf.DUMMYFUNCTION("IMPORTRANGE(""https://docs.google.com/spreadsheets/d/1IYY_tgx_IHuhSq3AJ5eI5OnqOPBNLWSHKh2a30DoXe8/edit?usp=sharing"",""กระบี่!I546"")"),0)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IFERROR(__xludf.DUMMYFUNCTION("IMPORTRANGE(""https://docs.google.com/spreadsheets/d/1IYY_tgx_IHuhSq3AJ5eI5OnqOPBNLWSHKh2a30DoXe8/edit?usp=sharing"",""กระบี่!L546"")"),0)</f>
        <v>0</v>
      </c>
      <c r="M651" s="534"/>
      <c r="N651" s="549">
        <f ca="1">IFERROR(__xludf.DUMMYFUNCTION("IMPORTRANGE(""https://docs.google.com/spreadsheets/d/1IYY_tgx_IHuhSq3AJ5eI5OnqOPBNLWSHKh2a30DoXe8/edit?usp=sharing"",""กระบี่!M546"")"),0)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IFERROR(__xludf.DUMMYFUNCTION("IMPORTRANGE(""https://docs.google.com/spreadsheets/d/1IYY_tgx_IHuhSq3AJ5eI5OnqOPBNLWSHKh2a30DoXe8/edit?usp=sharing"",""กระบี่!J547"")"),0)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IFERROR(__xludf.DUMMYFUNCTION("IMPORTRANGE(""https://docs.google.com/spreadsheets/d/1IYY_tgx_IHuhSq3AJ5eI5OnqOPBNLWSHKh2a30DoXe8/edit?usp=sharing"",""กระบี่!J548"")"),0)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IFERROR(__xludf.DUMMYFUNCTION("IMPORTRANGE(""https://docs.google.com/spreadsheets/d/1IYY_tgx_IHuhSq3AJ5eI5OnqOPBNLWSHKh2a30DoXe8/edit?usp=sharing"",""กระบี่!J550"")"),0)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IFERROR(__xludf.DUMMYFUNCTION("IMPORTRANGE(""https://docs.google.com/spreadsheets/d/1IYY_tgx_IHuhSq3AJ5eI5OnqOPBNLWSHKh2a30DoXe8/edit?usp=sharing"",""กระบี่!J551"")"),0)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IFERROR(__xludf.DUMMYFUNCTION("IMPORTRANGE(""https://docs.google.com/spreadsheets/d/1IYY_tgx_IHuhSq3AJ5eI5OnqOPBNLWSHKh2a30DoXe8/edit?usp=sharing"",""กระบี่!J552"")"),0)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IFERROR(__xludf.DUMMYFUNCTION("IMPORTRANGE(""https://docs.google.com/spreadsheets/d/1IYY_tgx_IHuhSq3AJ5eI5OnqOPBNLWSHKh2a30DoXe8/edit?usp=sharing"",""กระบี่!J553"")"),0)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IFERROR(__xludf.DUMMYFUNCTION("IMPORTRANGE(""https://docs.google.com/spreadsheets/d/1IYY_tgx_IHuhSq3AJ5eI5OnqOPBNLWSHKh2a30DoXe8/edit?usp=sharing"",""กระบี่!J554"")"),0)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IFERROR(__xludf.DUMMYFUNCTION("IMPORTRANGE(""https://docs.google.com/spreadsheets/d/1IYY_tgx_IHuhSq3AJ5eI5OnqOPBNLWSHKh2a30DoXe8/edit?usp=sharing"",""กระบี่!J555"")"),0)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IFERROR(__xludf.DUMMYFUNCTION("IMPORTRANGE(""https://docs.google.com/spreadsheets/d/1IYY_tgx_IHuhSq3AJ5eI5OnqOPBNLWSHKh2a30DoXe8/edit?usp=sharing"",""กระบี่!J556"")"),0)</f>
        <v>0</v>
      </c>
      <c r="K661" s="548"/>
      <c r="L661" s="535">
        <f ca="1">IFERROR(__xludf.DUMMYFUNCTION("IMPORTRANGE(""https://docs.google.com/spreadsheets/d/1IYY_tgx_IHuhSq3AJ5eI5OnqOPBNLWSHKh2a30DoXe8/edit?usp=sharing"",""กระบี่!L556"")"),0)</f>
        <v>0</v>
      </c>
      <c r="M661" s="534"/>
      <c r="N661" s="549">
        <f ca="1">IFERROR(__xludf.DUMMYFUNCTION("IMPORTRANGE(""https://docs.google.com/spreadsheets/d/1IYY_tgx_IHuhSq3AJ5eI5OnqOPBNLWSHKh2a30DoXe8/edit?usp=sharing"",""กระบี่!M556"")"),0)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IFERROR(__xludf.DUMMYFUNCTION("IMPORTRANGE(""https://docs.google.com/spreadsheets/d/1IYY_tgx_IHuhSq3AJ5eI5OnqOPBNLWSHKh2a30DoXe8/edit?usp=sharing"",""กระบี่!J557"")"),0)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IFERROR(__xludf.DUMMYFUNCTION("IMPORTRANGE(""https://docs.google.com/spreadsheets/d/1IYY_tgx_IHuhSq3AJ5eI5OnqOPBNLWSHKh2a30DoXe8/edit?usp=sharing"",""กระบี่!I558"")"),0)</f>
        <v>0</v>
      </c>
      <c r="J663" s="547">
        <f ca="1">IFERROR(__xludf.DUMMYFUNCTION("IMPORTRANGE(""https://docs.google.com/spreadsheets/d/1IYY_tgx_IHuhSq3AJ5eI5OnqOPBNLWSHKh2a30DoXe8/edit?usp=sharing"",""กระบี่!J558"")"),0)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IFERROR(__xludf.DUMMYFUNCTION("IMPORTRANGE(""https://docs.google.com/spreadsheets/d/1IYY_tgx_IHuhSq3AJ5eI5OnqOPBNLWSHKh2a30DoXe8/edit?usp=sharing"",""กระบี่!I560"")"),0)</f>
        <v>0</v>
      </c>
      <c r="J665" s="547">
        <f ca="1">IFERROR(__xludf.DUMMYFUNCTION("IMPORTRANGE(""https://docs.google.com/spreadsheets/d/1IYY_tgx_IHuhSq3AJ5eI5OnqOPBNLWSHKh2a30DoXe8/edit?usp=sharing"",""กระบี่!J560"")"),0)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IFERROR(__xludf.DUMMYFUNCTION("IMPORTRANGE(""https://docs.google.com/spreadsheets/d/1IYY_tgx_IHuhSq3AJ5eI5OnqOPBNLWSHKh2a30DoXe8/edit?usp=sharing"",""กระบี่!L560"")"),0)</f>
        <v>0</v>
      </c>
      <c r="M665" s="534"/>
      <c r="N665" s="549">
        <f ca="1">IFERROR(__xludf.DUMMYFUNCTION("IMPORTRANGE(""https://docs.google.com/spreadsheets/d/1IYY_tgx_IHuhSq3AJ5eI5OnqOPBNLWSHKh2a30DoXe8/edit?usp=sharing"",""กระบี่!M560"")"),0)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IFERROR(__xludf.DUMMYFUNCTION("IMPORTRANGE(""https://docs.google.com/spreadsheets/d/1IYY_tgx_IHuhSq3AJ5eI5OnqOPBNLWSHKh2a30DoXe8/edit?usp=sharing"",""กระบี่!J561"")"),0)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IFERROR(__xludf.DUMMYFUNCTION("IMPORTRANGE(""https://docs.google.com/spreadsheets/d/1IYY_tgx_IHuhSq3AJ5eI5OnqOPBNLWSHKh2a30DoXe8/edit?usp=sharing"",""กระบี่!J562"")"),0)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IFERROR(__xludf.DUMMYFUNCTION("IMPORTRANGE(""https://docs.google.com/spreadsheets/d/1IYY_tgx_IHuhSq3AJ5eI5OnqOPBNLWSHKh2a30DoXe8/edit?usp=sharing"",""กระบี่!I563"")"),0)</f>
        <v>0</v>
      </c>
      <c r="J668" s="547">
        <f ca="1">IFERROR(__xludf.DUMMYFUNCTION("IMPORTRANGE(""https://docs.google.com/spreadsheets/d/1IYY_tgx_IHuhSq3AJ5eI5OnqOPBNLWSHKh2a30DoXe8/edit?usp=sharing"",""กระบี่!J563"")"),0)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IFERROR(__xludf.DUMMYFUNCTION("IMPORTRANGE(""https://docs.google.com/spreadsheets/d/1IYY_tgx_IHuhSq3AJ5eI5OnqOPBNLWSHKh2a30DoXe8/edit?usp=sharing"",""กระบี่!L563"")"),0)</f>
        <v>0</v>
      </c>
      <c r="M668" s="534"/>
      <c r="N668" s="549">
        <f ca="1">IFERROR(__xludf.DUMMYFUNCTION("IMPORTRANGE(""https://docs.google.com/spreadsheets/d/1IYY_tgx_IHuhSq3AJ5eI5OnqOPBNLWSHKh2a30DoXe8/edit?usp=sharing"",""กระบี่!M563"")"),0)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IFERROR(__xludf.DUMMYFUNCTION("IMPORTRANGE(""https://docs.google.com/spreadsheets/d/1IYY_tgx_IHuhSq3AJ5eI5OnqOPBNLWSHKh2a30DoXe8/edit?usp=sharing"",""กระบี่!I566"")"),0)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IFERROR(__xludf.DUMMYFUNCTION("IMPORTRANGE(""https://docs.google.com/spreadsheets/d/1IYY_tgx_IHuhSq3AJ5eI5OnqOPBNLWSHKh2a30DoXe8/edit?usp=sharing"",""กระบี่!L566"")"),0)</f>
        <v>0</v>
      </c>
      <c r="M671" s="534"/>
      <c r="N671" s="549">
        <f ca="1">IFERROR(__xludf.DUMMYFUNCTION("IMPORTRANGE(""https://docs.google.com/spreadsheets/d/1IYY_tgx_IHuhSq3AJ5eI5OnqOPBNLWSHKh2a30DoXe8/edit?usp=sharing"",""กระบี่!M566"")"),0)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IFERROR(__xludf.DUMMYFUNCTION("IMPORTRANGE(""https://docs.google.com/spreadsheets/d/1IYY_tgx_IHuhSq3AJ5eI5OnqOPBNLWSHKh2a30DoXe8/edit?usp=sharing"",""กระบี่!J567"")"),0)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IFERROR(__xludf.DUMMYFUNCTION("IMPORTRANGE(""https://docs.google.com/spreadsheets/d/1IYY_tgx_IHuhSq3AJ5eI5OnqOPBNLWSHKh2a30DoXe8/edit?usp=sharing"",""กระบี่!J568"")"),0)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IFERROR(__xludf.DUMMYFUNCTION("IMPORTRANGE(""https://docs.google.com/spreadsheets/d/1IYY_tgx_IHuhSq3AJ5eI5OnqOPBNLWSHKh2a30DoXe8/edit?usp=sharing"",""กระบี่!J569"")"),0)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IFERROR(__xludf.DUMMYFUNCTION("IMPORTRANGE(""https://docs.google.com/spreadsheets/d/1IYY_tgx_IHuhSq3AJ5eI5OnqOPBNLWSHKh2a30DoXe8/edit?usp=sharing"",""กระบี่!J570"")"),0)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IFERROR(__xludf.DUMMYFUNCTION("IMPORTRANGE(""https://docs.google.com/spreadsheets/d/1IYY_tgx_IHuhSq3AJ5eI5OnqOPBNLWSHKh2a30DoXe8/edit?usp=sharing"",""กระบี่!J571"")"),0)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IFERROR(__xludf.DUMMYFUNCTION("IMPORTRANGE(""https://docs.google.com/spreadsheets/d/1IYY_tgx_IHuhSq3AJ5eI5OnqOPBNLWSHKh2a30DoXe8/edit?usp=sharing"",""กระบี่!J572"")"),0)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262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5749375</v>
      </c>
      <c r="M8" s="23">
        <f t="shared" ca="1" si="0"/>
        <v>3963675.74</v>
      </c>
      <c r="N8" s="23">
        <f t="shared" ca="1" si="0"/>
        <v>4777078.25</v>
      </c>
      <c r="O8" s="22">
        <f t="shared" ref="O8:O16" ca="1" si="1">IF(L8&gt;0,N8*100/L8,0)</f>
        <v>83.088653114468968</v>
      </c>
      <c r="P8" s="22">
        <f t="shared" ref="P8:P16" ca="1" si="2">IF(M8&gt;0,N8*100/M8,0)</f>
        <v>120.52141909065446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5749375</v>
      </c>
      <c r="M10" s="30">
        <f t="shared" ca="1" si="4"/>
        <v>3963675.74</v>
      </c>
      <c r="N10" s="30">
        <f t="shared" ca="1" si="4"/>
        <v>4777078.25</v>
      </c>
      <c r="O10" s="29">
        <f t="shared" ca="1" si="1"/>
        <v>83.088653114468968</v>
      </c>
      <c r="P10" s="29">
        <f t="shared" ca="1" si="2"/>
        <v>120.52141909065446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5656975</v>
      </c>
      <c r="M12" s="38">
        <f t="shared" ca="1" si="6"/>
        <v>3871275.74</v>
      </c>
      <c r="N12" s="38">
        <f t="shared" ca="1" si="6"/>
        <v>4684678.25</v>
      </c>
      <c r="O12" s="38">
        <f t="shared" ca="1" si="1"/>
        <v>82.812426252546629</v>
      </c>
      <c r="P12" s="38">
        <f t="shared" ca="1" si="2"/>
        <v>121.01122639225899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1691300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3965675</v>
      </c>
      <c r="M14" s="38">
        <f t="shared" si="8"/>
        <v>0</v>
      </c>
      <c r="N14" s="38">
        <f t="shared" ca="1" si="8"/>
        <v>1447787.62</v>
      </c>
      <c r="O14" s="41">
        <f t="shared" ca="1" si="1"/>
        <v>36.507974556664379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3665478</v>
      </c>
      <c r="M18" s="23">
        <f t="shared" ca="1" si="11"/>
        <v>3963675.74</v>
      </c>
      <c r="N18" s="23">
        <f t="shared" ca="1" si="11"/>
        <v>3329290.63</v>
      </c>
      <c r="O18" s="22">
        <f t="shared" ref="O18:O20" ca="1" si="12">IF(L18&gt;0,N18*100/L18,0)</f>
        <v>90.828280240667112</v>
      </c>
      <c r="P18" s="22">
        <f t="shared" ref="P18:P26" ca="1" si="13">IF(M18&gt;0,N18*100/M18,0)</f>
        <v>83.995030077813581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3665478</v>
      </c>
      <c r="M20" s="30">
        <f t="shared" ca="1" si="15"/>
        <v>3963675.74</v>
      </c>
      <c r="N20" s="30">
        <f t="shared" ca="1" si="15"/>
        <v>3329290.63</v>
      </c>
      <c r="O20" s="29">
        <f t="shared" ca="1" si="12"/>
        <v>90.828280240667112</v>
      </c>
      <c r="P20" s="29">
        <f t="shared" ca="1" si="13"/>
        <v>83.995030077813581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3573078</v>
      </c>
      <c r="M22" s="42">
        <f t="shared" ca="1" si="18"/>
        <v>3871275.74</v>
      </c>
      <c r="N22" s="41">
        <f t="shared" ca="1" si="18"/>
        <v>3236890.63</v>
      </c>
      <c r="O22" s="41">
        <f t="shared" ca="1" si="17"/>
        <v>90.591099046816225</v>
      </c>
      <c r="P22" s="41">
        <f t="shared" ca="1" si="13"/>
        <v>83.613021840702046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1691300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1881778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92400</v>
      </c>
      <c r="M26" s="50">
        <f t="shared" ca="1" si="22"/>
        <v>92400</v>
      </c>
      <c r="N26" s="50">
        <f t="shared" ca="1" si="22"/>
        <v>92400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2083897</v>
      </c>
      <c r="M28" s="23">
        <f t="shared" si="23"/>
        <v>0</v>
      </c>
      <c r="N28" s="23">
        <f t="shared" ca="1" si="23"/>
        <v>1447787.62</v>
      </c>
      <c r="O28" s="22">
        <f t="shared" ref="O28:O30" ca="1" si="24">IF(L28&gt;0,N28*100/L28,0)</f>
        <v>69.475008601672727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2083897</v>
      </c>
      <c r="M30" s="30">
        <f t="shared" si="27"/>
        <v>0</v>
      </c>
      <c r="N30" s="30">
        <f t="shared" ca="1" si="27"/>
        <v>1447787.62</v>
      </c>
      <c r="O30" s="29">
        <f t="shared" ca="1" si="24"/>
        <v>69.475008601672727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2083897</v>
      </c>
      <c r="M32" s="41">
        <f t="shared" si="30"/>
        <v>0</v>
      </c>
      <c r="N32" s="41">
        <f t="shared" ca="1" si="30"/>
        <v>1447787.62</v>
      </c>
      <c r="O32" s="41">
        <f t="shared" ca="1" si="29"/>
        <v>69.475008601672727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2083897</v>
      </c>
      <c r="M34" s="41">
        <f t="shared" si="32"/>
        <v>0</v>
      </c>
      <c r="N34" s="41">
        <f t="shared" ca="1" si="32"/>
        <v>1447787.62</v>
      </c>
      <c r="O34" s="41">
        <f t="shared" ca="1" si="29"/>
        <v>69.475008601672727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3665478</v>
      </c>
      <c r="M37" s="55">
        <f t="shared" ca="1" si="33"/>
        <v>3963675.74</v>
      </c>
      <c r="N37" s="55">
        <f t="shared" ca="1" si="33"/>
        <v>3329290.63</v>
      </c>
      <c r="O37" s="56">
        <f t="shared" ca="1" si="29"/>
        <v>90.828280240667112</v>
      </c>
      <c r="P37" s="56">
        <f t="shared" ca="1" si="25"/>
        <v>83.995030077813581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684100</v>
      </c>
      <c r="M41" s="79">
        <f t="shared" ca="1" si="34"/>
        <v>704100</v>
      </c>
      <c r="N41" s="79">
        <f t="shared" ca="1" si="34"/>
        <v>644834.46</v>
      </c>
      <c r="O41" s="78">
        <f t="shared" ref="O41:O43" ca="1" si="35">IF(L41&gt;0,N41*100/L41,0)</f>
        <v>94.26026311942698</v>
      </c>
      <c r="P41" s="78">
        <f t="shared" ref="P41:P43" ca="1" si="36">IF(M41&gt;0,N41*100/M41,0)</f>
        <v>91.582795057520244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684100</v>
      </c>
      <c r="M43" s="79">
        <f t="shared" ca="1" si="38"/>
        <v>704100</v>
      </c>
      <c r="N43" s="79">
        <f t="shared" ca="1" si="38"/>
        <v>644834.46</v>
      </c>
      <c r="O43" s="78">
        <f t="shared" ca="1" si="35"/>
        <v>94.26026311942698</v>
      </c>
      <c r="P43" s="78">
        <f t="shared" ca="1" si="36"/>
        <v>91.582795057520244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684100</v>
      </c>
      <c r="M45" s="91">
        <f ca="1">IFERROR(__xludf.DUMMYFUNCTION("IMPORTRANGE(""https://docs.google.com/spreadsheets/d/1Yj_ptqi66GCucihVvJfMjLAmec39IyEx_6qawtMGysU/edit?usp=sharing"",""สบก!Q82"")"),704100)</f>
        <v>704100</v>
      </c>
      <c r="N45" s="91">
        <f ca="1">IFERROR(__xludf.DUMMYFUNCTION("IMPORTRANGE(""https://docs.google.com/spreadsheets/d/1Yj_ptqi66GCucihVvJfMjLAmec39IyEx_6qawtMGysU/edit?usp=sharing"",""สบก!R82"")"),644834.46)</f>
        <v>644834.46</v>
      </c>
      <c r="O45" s="92">
        <f ca="1">IF(L45&gt;0,N45*100/L45,0)</f>
        <v>94.26026311942698</v>
      </c>
      <c r="P45" s="92">
        <f ca="1">IF(M45&gt;0,N45*100/M45,0)</f>
        <v>91.582795057520244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IFERROR(__xludf.DUMMYFUNCTION("IMPORTRANGE(""https://docs.google.com/spreadsheets/d/1Yj_ptqi66GCucihVvJfMjLAmec39IyEx_6qawtMGysU/edit?usp=sharing"",""สบก!M82"")"),684100)</f>
        <v>684100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531397.74</v>
      </c>
      <c r="N53" s="125">
        <f t="shared" ca="1" si="39"/>
        <v>521797.74</v>
      </c>
      <c r="O53" s="124">
        <f t="shared" ref="O53:O55" ca="1" si="40">IF(L53&gt;0,N53*100/L53,0)</f>
        <v>104.359548</v>
      </c>
      <c r="P53" s="124">
        <f t="shared" ref="P53:P55" ca="1" si="41">IF(M53&gt;0,N53*100/M53,0)</f>
        <v>98.193443577686281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531397.74</v>
      </c>
      <c r="N55" s="125">
        <f t="shared" ca="1" si="43"/>
        <v>521797.74</v>
      </c>
      <c r="O55" s="124">
        <f t="shared" ca="1" si="40"/>
        <v>104.359548</v>
      </c>
      <c r="P55" s="124">
        <f t="shared" ca="1" si="41"/>
        <v>98.193443577686281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IFERROR(__xludf.DUMMYFUNCTION("IMPORTRANGE(""https://docs.google.com/spreadsheets/d/1Yj_ptqi66GCucihVvJfMjLAmec39IyEx_6qawtMGysU/edit?usp=sharing"",""สบก!Z82"")"),531397.74)</f>
        <v>531397.74</v>
      </c>
      <c r="N57" s="91">
        <f ca="1">IFERROR(__xludf.DUMMYFUNCTION("IMPORTRANGE(""https://docs.google.com/spreadsheets/d/1Yj_ptqi66GCucihVvJfMjLAmec39IyEx_6qawtMGysU/edit?usp=sharing"",""สบก!AA82"")"),521797.74)</f>
        <v>521797.74</v>
      </c>
      <c r="O57" s="92">
        <f ca="1">IF(L57&gt;0,N57*100/L57,0)</f>
        <v>104.359548</v>
      </c>
      <c r="P57" s="92">
        <f ca="1">IF(M57&gt;0,N57*100/M57,0)</f>
        <v>98.193443577686281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IFERROR(__xludf.DUMMYFUNCTION("IMPORTRANGE(""https://docs.google.com/spreadsheets/d/1Yj_ptqi66GCucihVvJfMjLAmec39IyEx_6qawtMGysU/edit?usp=sharing"",""สบก!V82"")"),500000)</f>
        <v>500000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780800</v>
      </c>
      <c r="M66" s="156">
        <f t="shared" ca="1" si="45"/>
        <v>827100</v>
      </c>
      <c r="N66" s="156">
        <f t="shared" ca="1" si="45"/>
        <v>692021.36</v>
      </c>
      <c r="O66" s="155">
        <f t="shared" ref="O66:O68" ca="1" si="46">IF(L66&gt;0,N66*100/L66,0)</f>
        <v>88.629784836065568</v>
      </c>
      <c r="P66" s="155">
        <f t="shared" ref="P66:P68" ca="1" si="47">IF(M66&gt;0,N66*100/M66,0)</f>
        <v>83.668402853343011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780800</v>
      </c>
      <c r="M68" s="161">
        <f t="shared" ca="1" si="49"/>
        <v>827100</v>
      </c>
      <c r="N68" s="161">
        <f t="shared" ca="1" si="49"/>
        <v>692021.36</v>
      </c>
      <c r="O68" s="160">
        <f t="shared" ca="1" si="46"/>
        <v>88.629784836065568</v>
      </c>
      <c r="P68" s="160">
        <f t="shared" ca="1" si="47"/>
        <v>83.668402853343011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780800</v>
      </c>
      <c r="M70" s="173">
        <f ca="1">IFERROR(__xludf.DUMMYFUNCTION("IMPORTRANGE(""https://docs.google.com/spreadsheets/d/1Yj_ptqi66GCucihVvJfMjLAmec39IyEx_6qawtMGysU/edit?usp=sharing"",""สบก!AI82"")"),827100)</f>
        <v>827100</v>
      </c>
      <c r="N70" s="174">
        <f ca="1">IFERROR(__xludf.DUMMYFUNCTION("IMPORTRANGE(""https://docs.google.com/spreadsheets/d/1Yj_ptqi66GCucihVvJfMjLAmec39IyEx_6qawtMGysU/edit?usp=sharing"",""สบก!AJ82"")"),692021.36)</f>
        <v>692021.36</v>
      </c>
      <c r="O70" s="175">
        <f ca="1">IF(L70&gt;0,N70*100/L70,0)</f>
        <v>88.629784836065568</v>
      </c>
      <c r="P70" s="175">
        <f ca="1">IF(M70&gt;0,N70*100/M70,0)</f>
        <v>83.668402853343011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IFERROR(__xludf.DUMMYFUNCTION("IMPORTRANGE(""https://docs.google.com/spreadsheets/d/1Yj_ptqi66GCucihVvJfMjLAmec39IyEx_6qawtMGysU/edit?usp=sharing"",""สบก!AE82"")"),180800)</f>
        <v>180800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IFERROR(__xludf.DUMMYFUNCTION("IMPORTRANGE(""https://docs.google.com/spreadsheets/d/1Yj_ptqi66GCucihVvJfMjLAmec39IyEx_6qawtMGysU/edit?usp=sharing"",""สบก!AF82"")"),600000)</f>
        <v>600000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IFERROR(__xludf.DUMMYFUNCTION("IMPORTRANGE(""https://docs.google.com/spreadsheets/d/1IYY_tgx_IHuhSq3AJ5eI5OnqOPBNLWSHKh2a30DoXe8/edit?usp=sharing"",""ชุมพร!J16"")"),0)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IFERROR(__xludf.DUMMYFUNCTION("IMPORTRANGE(""https://docs.google.com/spreadsheets/d/1IYY_tgx_IHuhSq3AJ5eI5OnqOPBNLWSHKh2a30DoXe8/edit?usp=sharing"",""ชุมพร!J17"")"),1)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IFERROR(__xludf.DUMMYFUNCTION("IMPORTRANGE(""https://docs.google.com/spreadsheets/d/1IYY_tgx_IHuhSq3AJ5eI5OnqOPBNLWSHKh2a30DoXe8/edit?usp=sharing"",""ชุมพร!J18"")"),1)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IFERROR(__xludf.DUMMYFUNCTION("IMPORTRANGE(""https://docs.google.com/spreadsheets/d/1IYY_tgx_IHuhSq3AJ5eI5OnqOPBNLWSHKh2a30DoXe8/edit?usp=sharing"",""ชุมพร!J19"")"),1)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IFERROR(__xludf.DUMMYFUNCTION("IMPORTRANGE(""https://docs.google.com/spreadsheets/d/1IYY_tgx_IHuhSq3AJ5eI5OnqOPBNLWSHKh2a30DoXe8/edit?usp=sharing"",""ชุมพร!I20"")"),2)</f>
        <v>2</v>
      </c>
      <c r="J80" s="207">
        <f ca="1">IFERROR(__xludf.DUMMYFUNCTION("IMPORTRANGE(""https://docs.google.com/spreadsheets/d/1IYY_tgx_IHuhSq3AJ5eI5OnqOPBNLWSHKh2a30DoXe8/edit?usp=sharing"",""ชุมพร!J20"")"),2)</f>
        <v>2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IFERROR(__xludf.DUMMYFUNCTION("IMPORTRANGE(""https://docs.google.com/spreadsheets/d/1IYY_tgx_IHuhSq3AJ5eI5OnqOPBNLWSHKh2a30DoXe8/edit?usp=sharing"",""ชุมพร!I21"")"),70)</f>
        <v>70</v>
      </c>
      <c r="J81" s="207">
        <f ca="1">IFERROR(__xludf.DUMMYFUNCTION("IMPORTRANGE(""https://docs.google.com/spreadsheets/d/1IYY_tgx_IHuhSq3AJ5eI5OnqOPBNLWSHKh2a30DoXe8/edit?usp=sharing"",""ชุมพร!J21"")"),70)</f>
        <v>70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IFERROR(__xludf.DUMMYFUNCTION("IMPORTRANGE(""https://docs.google.com/spreadsheets/d/1IYY_tgx_IHuhSq3AJ5eI5OnqOPBNLWSHKh2a30DoXe8/edit?usp=sharing"",""ชุมพร!I22"")"),0)</f>
        <v>0</v>
      </c>
      <c r="J82" s="210">
        <f ca="1">IFERROR(__xludf.DUMMYFUNCTION("IMPORTRANGE(""https://docs.google.com/spreadsheets/d/1IYY_tgx_IHuhSq3AJ5eI5OnqOPBNLWSHKh2a30DoXe8/edit?usp=sharing"",""ชุมพร!J22"")"),0)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IFERROR(__xludf.DUMMYFUNCTION("IMPORTRANGE(""https://docs.google.com/spreadsheets/d/1IYY_tgx_IHuhSq3AJ5eI5OnqOPBNLWSHKh2a30DoXe8/edit?usp=sharing"",""ชุมพร!I23"")"),0)</f>
        <v>0</v>
      </c>
      <c r="J83" s="210">
        <f ca="1">IFERROR(__xludf.DUMMYFUNCTION("IMPORTRANGE(""https://docs.google.com/spreadsheets/d/1IYY_tgx_IHuhSq3AJ5eI5OnqOPBNLWSHKh2a30DoXe8/edit?usp=sharing"",""ชุมพร!J23"")"),0)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IFERROR(__xludf.DUMMYFUNCTION("IMPORTRANGE(""https://docs.google.com/spreadsheets/d/1IYY_tgx_IHuhSq3AJ5eI5OnqOPBNLWSHKh2a30DoXe8/edit?usp=sharing"",""ชุมพร!I24"")"),0)</f>
        <v>0</v>
      </c>
      <c r="J84" s="195">
        <f ca="1">IFERROR(__xludf.DUMMYFUNCTION("IMPORTRANGE(""https://docs.google.com/spreadsheets/d/1IYY_tgx_IHuhSq3AJ5eI5OnqOPBNLWSHKh2a30DoXe8/edit?usp=sharing"",""ชุมพร!J24"")"),0)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IFERROR(__xludf.DUMMYFUNCTION("IMPORTRANGE(""https://docs.google.com/spreadsheets/d/1IYY_tgx_IHuhSq3AJ5eI5OnqOPBNLWSHKh2a30DoXe8/edit?usp=sharing"",""ชุมพร!I25"")"),0)</f>
        <v>0</v>
      </c>
      <c r="J85" s="195">
        <f ca="1">IFERROR(__xludf.DUMMYFUNCTION("IMPORTRANGE(""https://docs.google.com/spreadsheets/d/1IYY_tgx_IHuhSq3AJ5eI5OnqOPBNLWSHKh2a30DoXe8/edit?usp=sharing"",""ชุมพร!J25"")"),0)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IFERROR(__xludf.DUMMYFUNCTION("IMPORTRANGE(""https://docs.google.com/spreadsheets/d/1IYY_tgx_IHuhSq3AJ5eI5OnqOPBNLWSHKh2a30DoXe8/edit?usp=sharing"",""ชุมพร!I26"")"),2)</f>
        <v>2</v>
      </c>
      <c r="J86" s="210">
        <f ca="1">IFERROR(__xludf.DUMMYFUNCTION("IMPORTRANGE(""https://docs.google.com/spreadsheets/d/1IYY_tgx_IHuhSq3AJ5eI5OnqOPBNLWSHKh2a30DoXe8/edit?usp=sharing"",""ชุมพร!J26"")"),2)</f>
        <v>2</v>
      </c>
      <c r="K86" s="167">
        <f t="shared" ca="1" si="50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IFERROR(__xludf.DUMMYFUNCTION("IMPORTRANGE(""https://docs.google.com/spreadsheets/d/1IYY_tgx_IHuhSq3AJ5eI5OnqOPBNLWSHKh2a30DoXe8/edit?usp=sharing"",""ชุมพร!I27"")"),70)</f>
        <v>70</v>
      </c>
      <c r="J87" s="210">
        <f ca="1">IFERROR(__xludf.DUMMYFUNCTION("IMPORTRANGE(""https://docs.google.com/spreadsheets/d/1IYY_tgx_IHuhSq3AJ5eI5OnqOPBNLWSHKh2a30DoXe8/edit?usp=sharing"",""ชุมพร!J27"")"),70)</f>
        <v>70</v>
      </c>
      <c r="K87" s="167">
        <f t="shared" ca="1" si="50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IFERROR(__xludf.DUMMYFUNCTION("IMPORTRANGE(""https://docs.google.com/spreadsheets/d/1IYY_tgx_IHuhSq3AJ5eI5OnqOPBNLWSHKh2a30DoXe8/edit?usp=sharing"",""ชุมพร!I28"")"),2)</f>
        <v>2</v>
      </c>
      <c r="J88" s="210">
        <f ca="1">IFERROR(__xludf.DUMMYFUNCTION("IMPORTRANGE(""https://docs.google.com/spreadsheets/d/1IYY_tgx_IHuhSq3AJ5eI5OnqOPBNLWSHKh2a30DoXe8/edit?usp=sharing"",""ชุมพร!J28"")"),0)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IFERROR(__xludf.DUMMYFUNCTION("IMPORTRANGE(""https://docs.google.com/spreadsheets/d/1IYY_tgx_IHuhSq3AJ5eI5OnqOPBNLWSHKh2a30DoXe8/edit?usp=sharing"",""ชุมพร!J29"")"),0)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IFERROR(__xludf.DUMMYFUNCTION("IMPORTRANGE(""https://docs.google.com/spreadsheets/d/1IYY_tgx_IHuhSq3AJ5eI5OnqOPBNLWSHKh2a30DoXe8/edit?usp=sharing"",""ชุมพร!J30"")"),0)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136696</v>
      </c>
      <c r="O94" s="155">
        <f t="shared" ref="O94:O96" ca="1" si="53">IF(L94&gt;0,N94*100/L94,0)</f>
        <v>63.727738927738926</v>
      </c>
      <c r="P94" s="155">
        <f t="shared" ref="P94:P96" ca="1" si="54">IF(M94&gt;0,N94*100/M94,0)</f>
        <v>63.727738927738926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136696</v>
      </c>
      <c r="O96" s="160">
        <f t="shared" ca="1" si="53"/>
        <v>63.727738927738926</v>
      </c>
      <c r="P96" s="160">
        <f t="shared" ca="1" si="54"/>
        <v>63.727738927738926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IFERROR(__xludf.DUMMYFUNCTION("IMPORTRANGE(""https://docs.google.com/spreadsheets/d/1Yj_ptqi66GCucihVvJfMjLAmec39IyEx_6qawtMGysU/edit?usp=sharing"",""สบก!AR82"")"),122100)</f>
        <v>122100</v>
      </c>
      <c r="N98" s="174">
        <f ca="1">IFERROR(__xludf.DUMMYFUNCTION("IMPORTRANGE(""https://docs.google.com/spreadsheets/d/1Yj_ptqi66GCucihVvJfMjLAmec39IyEx_6qawtMGysU/edit?usp=sharing"",""สบก!AS82"")"),44296)</f>
        <v>44296</v>
      </c>
      <c r="O98" s="175">
        <f ca="1">IF(L98&gt;0,N98*100/L98,0)</f>
        <v>36.27846027846028</v>
      </c>
      <c r="P98" s="175">
        <f ca="1">IF(M98&gt;0,N98*100/M98,0)</f>
        <v>36.27846027846028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IFERROR(__xludf.DUMMYFUNCTION("IMPORTRANGE(""https://docs.google.com/spreadsheets/d/1Yj_ptqi66GCucihVvJfMjLAmec39IyEx_6qawtMGysU/edit?usp=sharing"",""สบก!AO82"")"),122100)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IFERROR(__xludf.DUMMYFUNCTION("IMPORTRANGE(""https://docs.google.com/spreadsheets/d/1IYY_tgx_IHuhSq3AJ5eI5OnqOPBNLWSHKh2a30DoXe8/edit?usp=sharing"",""ชุมพร!J39"")"),0)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IFERROR(__xludf.DUMMYFUNCTION("IMPORTRANGE(""https://docs.google.com/spreadsheets/d/1IYY_tgx_IHuhSq3AJ5eI5OnqOPBNLWSHKh2a30DoXe8/edit?usp=sharing"",""ชุมพร!J40"")"),1)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IFERROR(__xludf.DUMMYFUNCTION("IMPORTRANGE(""https://docs.google.com/spreadsheets/d/1IYY_tgx_IHuhSq3AJ5eI5OnqOPBNLWSHKh2a30DoXe8/edit?usp=sharing"",""ชุมพร!J41"")"),1)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IFERROR(__xludf.DUMMYFUNCTION("IMPORTRANGE(""https://docs.google.com/spreadsheets/d/1IYY_tgx_IHuhSq3AJ5eI5OnqOPBNLWSHKh2a30DoXe8/edit?usp=sharing"",""ชุมพร!J42"")"),1)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IFERROR(__xludf.DUMMYFUNCTION("IMPORTRANGE(""https://docs.google.com/spreadsheets/d/1IYY_tgx_IHuhSq3AJ5eI5OnqOPBNLWSHKh2a30DoXe8/edit?usp=sharing"",""ชุมพร!I43"")"),1)</f>
        <v>1</v>
      </c>
      <c r="J108" s="210">
        <f ca="1">IFERROR(__xludf.DUMMYFUNCTION("IMPORTRANGE(""https://docs.google.com/spreadsheets/d/1IYY_tgx_IHuhSq3AJ5eI5OnqOPBNLWSHKh2a30DoXe8/edit?usp=sharing"",""ชุมพร!J43"")"),1)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IFERROR(__xludf.DUMMYFUNCTION("IMPORTRANGE(""https://docs.google.com/spreadsheets/d/1IYY_tgx_IHuhSq3AJ5eI5OnqOPBNLWSHKh2a30DoXe8/edit?usp=sharing"",""ชุมพร!I44"")"),4)</f>
        <v>4</v>
      </c>
      <c r="J109" s="210">
        <f ca="1">IFERROR(__xludf.DUMMYFUNCTION("IMPORTRANGE(""https://docs.google.com/spreadsheets/d/1IYY_tgx_IHuhSq3AJ5eI5OnqOPBNLWSHKh2a30DoXe8/edit?usp=sharing"",""ชุมพร!J44"")"),4)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IFERROR(__xludf.DUMMYFUNCTION("IMPORTRANGE(""https://docs.google.com/spreadsheets/d/1IYY_tgx_IHuhSq3AJ5eI5OnqOPBNLWSHKh2a30DoXe8/edit?usp=sharing"",""ชุมพร!I45"")"),4)</f>
        <v>4</v>
      </c>
      <c r="J110" s="210">
        <f ca="1">IFERROR(__xludf.DUMMYFUNCTION("IMPORTRANGE(""https://docs.google.com/spreadsheets/d/1IYY_tgx_IHuhSq3AJ5eI5OnqOPBNLWSHKh2a30DoXe8/edit?usp=sharing"",""ชุมพร!J45"")"),4)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IFERROR(__xludf.DUMMYFUNCTION("IMPORTRANGE(""https://docs.google.com/spreadsheets/d/1IYY_tgx_IHuhSq3AJ5eI5OnqOPBNLWSHKh2a30DoXe8/edit?usp=sharing"",""ชุมพร!I46"")"),4)</f>
        <v>4</v>
      </c>
      <c r="J111" s="210">
        <f ca="1">IFERROR(__xludf.DUMMYFUNCTION("IMPORTRANGE(""https://docs.google.com/spreadsheets/d/1IYY_tgx_IHuhSq3AJ5eI5OnqOPBNLWSHKh2a30DoXe8/edit?usp=sharing"",""ชุมพร!J46"")"),4)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IFERROR(__xludf.DUMMYFUNCTION("IMPORTRANGE(""https://docs.google.com/spreadsheets/d/1IYY_tgx_IHuhSq3AJ5eI5OnqOPBNLWSHKh2a30DoXe8/edit?usp=sharing"",""ชุมพร!I47"")"),4)</f>
        <v>4</v>
      </c>
      <c r="J112" s="210">
        <f ca="1">IFERROR(__xludf.DUMMYFUNCTION("IMPORTRANGE(""https://docs.google.com/spreadsheets/d/1IYY_tgx_IHuhSq3AJ5eI5OnqOPBNLWSHKh2a30DoXe8/edit?usp=sharing"",""ชุมพร!J47"")"),4)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IFERROR(__xludf.DUMMYFUNCTION("IMPORTRANGE(""https://docs.google.com/spreadsheets/d/1IYY_tgx_IHuhSq3AJ5eI5OnqOPBNLWSHKh2a30DoXe8/edit?usp=sharing"",""ชุมพร!I48"")"),1)</f>
        <v>1</v>
      </c>
      <c r="J113" s="210">
        <f ca="1">IFERROR(__xludf.DUMMYFUNCTION("IMPORTRANGE(""https://docs.google.com/spreadsheets/d/1IYY_tgx_IHuhSq3AJ5eI5OnqOPBNLWSHKh2a30DoXe8/edit?usp=sharing"",""ชุมพร!J48"")"),1)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IFERROR(__xludf.DUMMYFUNCTION("IMPORTRANGE(""https://docs.google.com/spreadsheets/d/1IYY_tgx_IHuhSq3AJ5eI5OnqOPBNLWSHKh2a30DoXe8/edit?usp=sharing"",""ชุมพร!J49"")"),0)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IFERROR(__xludf.DUMMYFUNCTION("IMPORTRANGE(""https://docs.google.com/spreadsheets/d/1IYY_tgx_IHuhSq3AJ5eI5OnqOPBNLWSHKh2a30DoXe8/edit?usp=sharing"",""ชุมพร!J50"")"),0)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73258</v>
      </c>
      <c r="M118" s="156">
        <f t="shared" ca="1" si="58"/>
        <v>73258</v>
      </c>
      <c r="N118" s="156">
        <f t="shared" ca="1" si="58"/>
        <v>49240</v>
      </c>
      <c r="O118" s="155">
        <f t="shared" ref="O118:O120" ca="1" si="59">IF(L118&gt;0,N118*100/L118,0)</f>
        <v>67.214502170411421</v>
      </c>
      <c r="P118" s="155">
        <f t="shared" ref="P118:P120" ca="1" si="60">IF(M118&gt;0,N118*100/M118,0)</f>
        <v>67.214502170411421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73258</v>
      </c>
      <c r="M120" s="161">
        <f t="shared" ca="1" si="62"/>
        <v>73258</v>
      </c>
      <c r="N120" s="161">
        <f t="shared" ca="1" si="62"/>
        <v>49240</v>
      </c>
      <c r="O120" s="160">
        <f t="shared" ca="1" si="59"/>
        <v>67.214502170411421</v>
      </c>
      <c r="P120" s="160">
        <f t="shared" ca="1" si="60"/>
        <v>67.214502170411421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73258</v>
      </c>
      <c r="M122" s="173">
        <f ca="1">IFERROR(__xludf.DUMMYFUNCTION("IMPORTRANGE(""https://docs.google.com/spreadsheets/d/1Yj_ptqi66GCucihVvJfMjLAmec39IyEx_6qawtMGysU/edit?usp=sharing"",""สบก!BA82"")"),73258)</f>
        <v>73258</v>
      </c>
      <c r="N122" s="174">
        <f ca="1">IFERROR(__xludf.DUMMYFUNCTION("IMPORTRANGE(""https://docs.google.com/spreadsheets/d/1Yj_ptqi66GCucihVvJfMjLAmec39IyEx_6qawtMGysU/edit?usp=sharing"",""สบก!BB82"")"),49240)</f>
        <v>49240</v>
      </c>
      <c r="O122" s="175">
        <f ca="1">IF(L122&gt;0,N122*100/L122,0)</f>
        <v>67.214502170411421</v>
      </c>
      <c r="P122" s="175">
        <f ca="1">IF(M122&gt;0,N122*100/M122,0)</f>
        <v>67.214502170411421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IFERROR(__xludf.DUMMYFUNCTION("IMPORTRANGE(""https://docs.google.com/spreadsheets/d/1Yj_ptqi66GCucihVvJfMjLAmec39IyEx_6qawtMGysU/edit?usp=sharing"",""สบก!AX82"")"),73258)</f>
        <v>73258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IFERROR(__xludf.DUMMYFUNCTION("IMPORTRANGE(""https://docs.google.com/spreadsheets/d/1IYY_tgx_IHuhSq3AJ5eI5OnqOPBNLWSHKh2a30DoXe8/edit?usp=sharing"",""ชุมพร!J58"")"),0)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IFERROR(__xludf.DUMMYFUNCTION("IMPORTRANGE(""https://docs.google.com/spreadsheets/d/1IYY_tgx_IHuhSq3AJ5eI5OnqOPBNLWSHKh2a30DoXe8/edit?usp=sharing"",""ชุมพร!J59"")"),1)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IFERROR(__xludf.DUMMYFUNCTION("IMPORTRANGE(""https://docs.google.com/spreadsheets/d/1IYY_tgx_IHuhSq3AJ5eI5OnqOPBNLWSHKh2a30DoXe8/edit?usp=sharing"",""ชุมพร!J60"")"),1)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IFERROR(__xludf.DUMMYFUNCTION("IMPORTRANGE(""https://docs.google.com/spreadsheets/d/1IYY_tgx_IHuhSq3AJ5eI5OnqOPBNLWSHKh2a30DoXe8/edit?usp=sharing"",""ชุมพร!J61"")"),1)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IFERROR(__xludf.DUMMYFUNCTION("IMPORTRANGE(""https://docs.google.com/spreadsheets/d/1IYY_tgx_IHuhSq3AJ5eI5OnqOPBNLWSHKh2a30DoXe8/edit?usp=sharing"",""ชุมพร!I62"")"),15)</f>
        <v>15</v>
      </c>
      <c r="J132" s="210">
        <f ca="1">IFERROR(__xludf.DUMMYFUNCTION("IMPORTRANGE(""https://docs.google.com/spreadsheets/d/1IYY_tgx_IHuhSq3AJ5eI5OnqOPBNLWSHKh2a30DoXe8/edit?usp=sharing"",""ชุมพร!J62"")"),15)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IFERROR(__xludf.DUMMYFUNCTION("IMPORTRANGE(""https://docs.google.com/spreadsheets/d/1IYY_tgx_IHuhSq3AJ5eI5OnqOPBNLWSHKh2a30DoXe8/edit?usp=sharing"",""ชุมพร!I63"")"),15)</f>
        <v>15</v>
      </c>
      <c r="J133" s="210">
        <f ca="1">IFERROR(__xludf.DUMMYFUNCTION("IMPORTRANGE(""https://docs.google.com/spreadsheets/d/1IYY_tgx_IHuhSq3AJ5eI5OnqOPBNLWSHKh2a30DoXe8/edit?usp=sharing"",""ชุมพร!J63"")"),15)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IFERROR(__xludf.DUMMYFUNCTION("IMPORTRANGE(""https://docs.google.com/spreadsheets/d/1IYY_tgx_IHuhSq3AJ5eI5OnqOPBNLWSHKh2a30DoXe8/edit?usp=sharing"",""ชุมพร!J64"")"),0)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IFERROR(__xludf.DUMMYFUNCTION("IMPORTRANGE(""https://docs.google.com/spreadsheets/d/1IYY_tgx_IHuhSq3AJ5eI5OnqOPBNLWSHKh2a30DoXe8/edit?usp=sharing"",""ชุมพร!J65"")"),0)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IFERROR(__xludf.DUMMYFUNCTION("IMPORTRANGE(""https://docs.google.com/spreadsheets/d/1IYY_tgx_IHuhSq3AJ5eI5OnqOPBNLWSHKh2a30DoXe8/edit?usp=sharing"",""ชุมพร!I68"")"),15)</f>
        <v>15</v>
      </c>
      <c r="J138" s="273">
        <f ca="1">IFERROR(__xludf.DUMMYFUNCTION("IMPORTRANGE(""https://docs.google.com/spreadsheets/d/1IYY_tgx_IHuhSq3AJ5eI5OnqOPBNLWSHKh2a30DoXe8/edit?usp=sharing"",""ชุมพร!J68"")"),15)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206500</v>
      </c>
      <c r="M140" s="156">
        <f t="shared" ca="1" si="64"/>
        <v>206500</v>
      </c>
      <c r="N140" s="156">
        <f t="shared" ca="1" si="64"/>
        <v>173665</v>
      </c>
      <c r="O140" s="155">
        <f t="shared" ref="O140:O142" ca="1" si="65">IF(L140&gt;0,N140*100/L140,0)</f>
        <v>84.099273607748188</v>
      </c>
      <c r="P140" s="155">
        <f t="shared" ref="P140:P142" ca="1" si="66">IF(M140&gt;0,N140*100/M140,0)</f>
        <v>84.099273607748188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206500</v>
      </c>
      <c r="M142" s="161">
        <f t="shared" ca="1" si="68"/>
        <v>206500</v>
      </c>
      <c r="N142" s="161">
        <f t="shared" ca="1" si="68"/>
        <v>173665</v>
      </c>
      <c r="O142" s="160">
        <f t="shared" ca="1" si="65"/>
        <v>84.099273607748188</v>
      </c>
      <c r="P142" s="160">
        <f t="shared" ca="1" si="66"/>
        <v>84.099273607748188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206500</v>
      </c>
      <c r="M144" s="173">
        <f ca="1">IFERROR(__xludf.DUMMYFUNCTION("IMPORTRANGE(""https://docs.google.com/spreadsheets/d/1Yj_ptqi66GCucihVvJfMjLAmec39IyEx_6qawtMGysU/edit?usp=sharing"",""สบก!BJ82"")"),206500)</f>
        <v>206500</v>
      </c>
      <c r="N144" s="174">
        <f ca="1">IFERROR(__xludf.DUMMYFUNCTION("IMPORTRANGE(""https://docs.google.com/spreadsheets/d/1Yj_ptqi66GCucihVvJfMjLAmec39IyEx_6qawtMGysU/edit?usp=sharing"",""สบก!BK82"")"),173665)</f>
        <v>173665</v>
      </c>
      <c r="O144" s="175">
        <f ca="1">IF(L144&gt;0,N144*100/L144,0)</f>
        <v>84.099273607748188</v>
      </c>
      <c r="P144" s="175">
        <f ca="1">IF(M144&gt;0,N144*100/M144,0)</f>
        <v>84.099273607748188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IFERROR(__xludf.DUMMYFUNCTION("IMPORTRANGE(""https://docs.google.com/spreadsheets/d/1Yj_ptqi66GCucihVvJfMjLAmec39IyEx_6qawtMGysU/edit?usp=sharing"",""สบก!BF82"")"),132000)</f>
        <v>132000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IFERROR(__xludf.DUMMYFUNCTION("IMPORTRANGE(""https://docs.google.com/spreadsheets/d/1Yj_ptqi66GCucihVvJfMjLAmec39IyEx_6qawtMGysU/edit?usp=sharing"",""สบก!BG82"")"),74500)</f>
        <v>74500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IFERROR(__xludf.DUMMYFUNCTION("IMPORTRANGE(""https://docs.google.com/spreadsheets/d/1IYY_tgx_IHuhSq3AJ5eI5OnqOPBNLWSHKh2a30DoXe8/edit?usp=sharing"",""ชุมพร!I74"")"),4)</f>
        <v>4</v>
      </c>
      <c r="J149" s="281">
        <f ca="1">IFERROR(__xludf.DUMMYFUNCTION("IMPORTRANGE(""https://docs.google.com/spreadsheets/d/1IYY_tgx_IHuhSq3AJ5eI5OnqOPBNLWSHKh2a30DoXe8/edit?usp=sharing"",""ชุมพร!J74"")"),3)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IFERROR(__xludf.DUMMYFUNCTION("IMPORTRANGE(""https://docs.google.com/spreadsheets/d/1IYY_tgx_IHuhSq3AJ5eI5OnqOPBNLWSHKh2a30DoXe8/edit?usp=sharing"",""ชุมพร!J79"")"),0)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IFERROR(__xludf.DUMMYFUNCTION("IMPORTRANGE(""https://docs.google.com/spreadsheets/d/1IYY_tgx_IHuhSq3AJ5eI5OnqOPBNLWSHKh2a30DoXe8/edit?usp=sharing"",""ชุมพร!J80"")"),1)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IFERROR(__xludf.DUMMYFUNCTION("IMPORTRANGE(""https://docs.google.com/spreadsheets/d/1IYY_tgx_IHuhSq3AJ5eI5OnqOPBNLWSHKh2a30DoXe8/edit?usp=sharing"",""ชุมพร!J81"")"),1)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IFERROR(__xludf.DUMMYFUNCTION("IMPORTRANGE(""https://docs.google.com/spreadsheets/d/1IYY_tgx_IHuhSq3AJ5eI5OnqOPBNLWSHKh2a30DoXe8/edit?usp=sharing"",""ชุมพร!J82"")"),1)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IFERROR(__xludf.DUMMYFUNCTION("IMPORTRANGE(""https://docs.google.com/spreadsheets/d/1IYY_tgx_IHuhSq3AJ5eI5OnqOPBNLWSHKh2a30DoXe8/edit?usp=sharing"",""ชุมพร!I83"")"),4)</f>
        <v>4</v>
      </c>
      <c r="J158" s="195">
        <f ca="1">IFERROR(__xludf.DUMMYFUNCTION("IMPORTRANGE(""https://docs.google.com/spreadsheets/d/1IYY_tgx_IHuhSq3AJ5eI5OnqOPBNLWSHKh2a30DoXe8/edit?usp=sharing"",""ชุมพร!J83"")"),3)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IFERROR(__xludf.DUMMYFUNCTION("IMPORTRANGE(""https://docs.google.com/spreadsheets/d/1IYY_tgx_IHuhSq3AJ5eI5OnqOPBNLWSHKh2a30DoXe8/edit?usp=sharing"",""ชุมพร!J84"")"),120)</f>
        <v>120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IFERROR(__xludf.DUMMYFUNCTION("IMPORTRANGE(""https://docs.google.com/spreadsheets/d/1IYY_tgx_IHuhSq3AJ5eI5OnqOPBNLWSHKh2a30DoXe8/edit?usp=sharing"",""ชุมพร!J85"")"),120)</f>
        <v>120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IFERROR(__xludf.DUMMYFUNCTION("IMPORTRANGE(""https://docs.google.com/spreadsheets/d/1IYY_tgx_IHuhSq3AJ5eI5OnqOPBNLWSHKh2a30DoXe8/edit?usp=sharing"",""ชุมพร!J86"")"),0)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IFERROR(__xludf.DUMMYFUNCTION("IMPORTRANGE(""https://docs.google.com/spreadsheets/d/1IYY_tgx_IHuhSq3AJ5eI5OnqOPBNLWSHKh2a30DoXe8/edit?usp=sharing"",""ชุมพร!J87"")"),0)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IFERROR(__xludf.DUMMYFUNCTION("IMPORTRANGE(""https://docs.google.com/spreadsheets/d/1IYY_tgx_IHuhSq3AJ5eI5OnqOPBNLWSHKh2a30DoXe8/edit?usp=sharing"",""ชุมพร!J88"")"),0)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IFERROR(__xludf.DUMMYFUNCTION("IMPORTRANGE(""https://docs.google.com/spreadsheets/d/1IYY_tgx_IHuhSq3AJ5eI5OnqOPBNLWSHKh2a30DoXe8/edit?usp=sharing"",""ชุมพร!J94"")"),0)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IFERROR(__xludf.DUMMYFUNCTION("IMPORTRANGE(""https://docs.google.com/spreadsheets/d/1IYY_tgx_IHuhSq3AJ5eI5OnqOPBNLWSHKh2a30DoXe8/edit?usp=sharing"",""ชุมพร!J95"")"),1)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IFERROR(__xludf.DUMMYFUNCTION("IMPORTRANGE(""https://docs.google.com/spreadsheets/d/1IYY_tgx_IHuhSq3AJ5eI5OnqOPBNLWSHKh2a30DoXe8/edit?usp=sharing"",""ชุมพร!J96"")"),1)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IFERROR(__xludf.DUMMYFUNCTION("IMPORTRANGE(""https://docs.google.com/spreadsheets/d/1IYY_tgx_IHuhSq3AJ5eI5OnqOPBNLWSHKh2a30DoXe8/edit?usp=sharing"",""ชุมพร!J97"")"),1)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IFERROR(__xludf.DUMMYFUNCTION("IMPORTRANGE(""https://docs.google.com/spreadsheets/d/1IYY_tgx_IHuhSq3AJ5eI5OnqOPBNLWSHKh2a30DoXe8/edit?usp=sharing"",""ชุมพร!I98"")"),2)</f>
        <v>2</v>
      </c>
      <c r="J173" s="195">
        <f ca="1">IFERROR(__xludf.DUMMYFUNCTION("IMPORTRANGE(""https://docs.google.com/spreadsheets/d/1IYY_tgx_IHuhSq3AJ5eI5OnqOPBNLWSHKh2a30DoXe8/edit?usp=sharing"",""ชุมพร!J98"")"),2)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IFERROR(__xludf.DUMMYFUNCTION("IMPORTRANGE(""https://docs.google.com/spreadsheets/d/1IYY_tgx_IHuhSq3AJ5eI5OnqOPBNLWSHKh2a30DoXe8/edit?usp=sharing"",""ชุมพร!J99"")"),0)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IFERROR(__xludf.DUMMYFUNCTION("IMPORTRANGE(""https://docs.google.com/spreadsheets/d/1IYY_tgx_IHuhSq3AJ5eI5OnqOPBNLWSHKh2a30DoXe8/edit?usp=sharing"",""ชุมพร!J100"")"),0)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IFERROR(__xludf.DUMMYFUNCTION("IMPORTRANGE(""https://docs.google.com/spreadsheets/d/1IYY_tgx_IHuhSq3AJ5eI5OnqOPBNLWSHKh2a30DoXe8/edit?usp=sharing"",""ชุมพร!J106"")"),0)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IFERROR(__xludf.DUMMYFUNCTION("IMPORTRANGE(""https://docs.google.com/spreadsheets/d/1IYY_tgx_IHuhSq3AJ5eI5OnqOPBNLWSHKh2a30DoXe8/edit?usp=sharing"",""ชุมพร!J107"")"),1)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IFERROR(__xludf.DUMMYFUNCTION("IMPORTRANGE(""https://docs.google.com/spreadsheets/d/1IYY_tgx_IHuhSq3AJ5eI5OnqOPBNLWSHKh2a30DoXe8/edit?usp=sharing"",""ชุมพร!J108"")"),1)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IFERROR(__xludf.DUMMYFUNCTION("IMPORTRANGE(""https://docs.google.com/spreadsheets/d/1IYY_tgx_IHuhSq3AJ5eI5OnqOPBNLWSHKh2a30DoXe8/edit?usp=sharing"",""ชุมพร!J109"")"),1)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IFERROR(__xludf.DUMMYFUNCTION("IMPORTRANGE(""https://docs.google.com/spreadsheets/d/1IYY_tgx_IHuhSq3AJ5eI5OnqOPBNLWSHKh2a30DoXe8/edit?usp=sharing"",""ชุมพร!I110"")"),1)</f>
        <v>1</v>
      </c>
      <c r="J185" s="210">
        <f ca="1">IFERROR(__xludf.DUMMYFUNCTION("IMPORTRANGE(""https://docs.google.com/spreadsheets/d/1IYY_tgx_IHuhSq3AJ5eI5OnqOPBNLWSHKh2a30DoXe8/edit?usp=sharing"",""ชุมพร!J110"")"),1)</f>
        <v>1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IFERROR(__xludf.DUMMYFUNCTION("IMPORTRANGE(""https://docs.google.com/spreadsheets/d/1IYY_tgx_IHuhSq3AJ5eI5OnqOPBNLWSHKh2a30DoXe8/edit?usp=sharing"",""ชุมพร!I111"")"),1)</f>
        <v>1</v>
      </c>
      <c r="J186" s="210">
        <f ca="1">IFERROR(__xludf.DUMMYFUNCTION("IMPORTRANGE(""https://docs.google.com/spreadsheets/d/1IYY_tgx_IHuhSq3AJ5eI5OnqOPBNLWSHKh2a30DoXe8/edit?usp=sharing"",""ชุมพร!J111"")"),1)</f>
        <v>1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IFERROR(__xludf.DUMMYFUNCTION("IMPORTRANGE(""https://docs.google.com/spreadsheets/d/1IYY_tgx_IHuhSq3AJ5eI5OnqOPBNLWSHKh2a30DoXe8/edit?usp=sharing"",""ชุมพร!J112"")"),0)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IFERROR(__xludf.DUMMYFUNCTION("IMPORTRANGE(""https://docs.google.com/spreadsheets/d/1IYY_tgx_IHuhSq3AJ5eI5OnqOPBNLWSHKh2a30DoXe8/edit?usp=sharing"",""ชุมพร!J113"")"),0)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IFERROR(__xludf.DUMMYFUNCTION("IMPORTRANGE(""https://docs.google.com/spreadsheets/d/1IYY_tgx_IHuhSq3AJ5eI5OnqOPBNLWSHKh2a30DoXe8/edit?usp=sharing"",""ชุมพร!J114"")"),30000)</f>
        <v>30000</v>
      </c>
      <c r="K189" s="291">
        <f ca="1">IF(I189&gt;0,J189*100/I189,0)</f>
        <v>150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IFERROR(__xludf.DUMMYFUNCTION("IMPORTRANGE(""https://docs.google.com/spreadsheets/d/1IYY_tgx_IHuhSq3AJ5eI5OnqOPBNLWSHKh2a30DoXe8/edit?usp=sharing"",""ชุมพร!J119"")"),0)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IFERROR(__xludf.DUMMYFUNCTION("IMPORTRANGE(""https://docs.google.com/spreadsheets/d/1IYY_tgx_IHuhSq3AJ5eI5OnqOPBNLWSHKh2a30DoXe8/edit?usp=sharing"",""ชุมพร!J120"")"),1)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IFERROR(__xludf.DUMMYFUNCTION("IMPORTRANGE(""https://docs.google.com/spreadsheets/d/1IYY_tgx_IHuhSq3AJ5eI5OnqOPBNLWSHKh2a30DoXe8/edit?usp=sharing"",""ชุมพร!J121"")"),1)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IFERROR(__xludf.DUMMYFUNCTION("IMPORTRANGE(""https://docs.google.com/spreadsheets/d/1IYY_tgx_IHuhSq3AJ5eI5OnqOPBNLWSHKh2a30DoXe8/edit?usp=sharing"",""ชุมพร!J122"")"),1)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IFERROR(__xludf.DUMMYFUNCTION("IMPORTRANGE(""https://docs.google.com/spreadsheets/d/1IYY_tgx_IHuhSq3AJ5eI5OnqOPBNLWSHKh2a30DoXe8/edit?usp=sharing"",""ชุมพร!I124"")"),20000)</f>
        <v>20000</v>
      </c>
      <c r="J199" s="195">
        <f ca="1">IFERROR(__xludf.DUMMYFUNCTION("IMPORTRANGE(""https://docs.google.com/spreadsheets/d/1IYY_tgx_IHuhSq3AJ5eI5OnqOPBNLWSHKh2a30DoXe8/edit?usp=sharing"",""ชุมพร!J124"")"),30000)</f>
        <v>30000</v>
      </c>
      <c r="K199" s="167">
        <f t="shared" ref="K199:K201" ca="1" si="70">IF(I199&gt;0,J199*100/I199,0)</f>
        <v>150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IFERROR(__xludf.DUMMYFUNCTION("IMPORTRANGE(""https://docs.google.com/spreadsheets/d/1IYY_tgx_IHuhSq3AJ5eI5OnqOPBNLWSHKh2a30DoXe8/edit?usp=sharing"",""ชุมพร!I125"")"),20000)</f>
        <v>20000</v>
      </c>
      <c r="J200" s="195">
        <f ca="1">IFERROR(__xludf.DUMMYFUNCTION("IMPORTRANGE(""https://docs.google.com/spreadsheets/d/1IYY_tgx_IHuhSq3AJ5eI5OnqOPBNLWSHKh2a30DoXe8/edit?usp=sharing"",""ชุมพร!J125"")"),30000)</f>
        <v>30000</v>
      </c>
      <c r="K200" s="167">
        <f t="shared" ca="1" si="70"/>
        <v>150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IFERROR(__xludf.DUMMYFUNCTION("IMPORTRANGE(""https://docs.google.com/spreadsheets/d/1IYY_tgx_IHuhSq3AJ5eI5OnqOPBNLWSHKh2a30DoXe8/edit?usp=sharing"",""ชุมพร!I126"")"),15)</f>
        <v>15</v>
      </c>
      <c r="J201" s="195">
        <f ca="1">IFERROR(__xludf.DUMMYFUNCTION("IMPORTRANGE(""https://docs.google.com/spreadsheets/d/1IYY_tgx_IHuhSq3AJ5eI5OnqOPBNLWSHKh2a30DoXe8/edit?usp=sharing"",""ชุมพร!J126"")"),15)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IFERROR(__xludf.DUMMYFUNCTION("IMPORTRANGE(""https://docs.google.com/spreadsheets/d/1IYY_tgx_IHuhSq3AJ5eI5OnqOPBNLWSHKh2a30DoXe8/edit?usp=sharing"",""ชุมพร!J127"")"),0)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IFERROR(__xludf.DUMMYFUNCTION("IMPORTRANGE(""https://docs.google.com/spreadsheets/d/1IYY_tgx_IHuhSq3AJ5eI5OnqOPBNLWSHKh2a30DoXe8/edit?usp=sharing"",""ชุมพร!J128"")"),0)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IFERROR(__xludf.DUMMYFUNCTION("IMPORTRANGE(""https://docs.google.com/spreadsheets/d/1IYY_tgx_IHuhSq3AJ5eI5OnqOPBNLWSHKh2a30DoXe8/edit?usp=sharing"",""ชุมพร!J134"")"),0)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IFERROR(__xludf.DUMMYFUNCTION("IMPORTRANGE(""https://docs.google.com/spreadsheets/d/1IYY_tgx_IHuhSq3AJ5eI5OnqOPBNLWSHKh2a30DoXe8/edit?usp=sharing"",""ชุมพร!J135"")"),0)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IFERROR(__xludf.DUMMYFUNCTION("IMPORTRANGE(""https://docs.google.com/spreadsheets/d/1IYY_tgx_IHuhSq3AJ5eI5OnqOPBNLWSHKh2a30DoXe8/edit?usp=sharing"",""ชุมพร!J136"")"),0)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IFERROR(__xludf.DUMMYFUNCTION("IMPORTRANGE(""https://docs.google.com/spreadsheets/d/1IYY_tgx_IHuhSq3AJ5eI5OnqOPBNLWSHKh2a30DoXe8/edit?usp=sharing"",""ชุมพร!J137"")"),0)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IFERROR(__xludf.DUMMYFUNCTION("IMPORTRANGE(""https://docs.google.com/spreadsheets/d/1IYY_tgx_IHuhSq3AJ5eI5OnqOPBNLWSHKh2a30DoXe8/edit?usp=sharing"",""ชุมพร!I138"")"),0)</f>
        <v>0</v>
      </c>
      <c r="J213" s="210">
        <f ca="1">IFERROR(__xludf.DUMMYFUNCTION("IMPORTRANGE(""https://docs.google.com/spreadsheets/d/1IYY_tgx_IHuhSq3AJ5eI5OnqOPBNLWSHKh2a30DoXe8/edit?usp=sharing"",""ชุมพร!J138"")"),0)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IFERROR(__xludf.DUMMYFUNCTION("IMPORTRANGE(""https://docs.google.com/spreadsheets/d/1IYY_tgx_IHuhSq3AJ5eI5OnqOPBNLWSHKh2a30DoXe8/edit?usp=sharing"",""ชุมพร!I140"")"),0)</f>
        <v>0</v>
      </c>
      <c r="J215" s="210">
        <f ca="1">IFERROR(__xludf.DUMMYFUNCTION("IMPORTRANGE(""https://docs.google.com/spreadsheets/d/1IYY_tgx_IHuhSq3AJ5eI5OnqOPBNLWSHKh2a30DoXe8/edit?usp=sharing"",""ชุมพร!J140"")"),0)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IFERROR(__xludf.DUMMYFUNCTION("IMPORTRANGE(""https://docs.google.com/spreadsheets/d/1IYY_tgx_IHuhSq3AJ5eI5OnqOPBNLWSHKh2a30DoXe8/edit?usp=sharing"",""ชุมพร!I141"")"),0)</f>
        <v>0</v>
      </c>
      <c r="J216" s="210">
        <f ca="1">IFERROR(__xludf.DUMMYFUNCTION("IMPORTRANGE(""https://docs.google.com/spreadsheets/d/1IYY_tgx_IHuhSq3AJ5eI5OnqOPBNLWSHKh2a30DoXe8/edit?usp=sharing"",""ชุมพร!J141"")"),0)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IFERROR(__xludf.DUMMYFUNCTION("IMPORTRANGE(""https://docs.google.com/spreadsheets/d/1IYY_tgx_IHuhSq3AJ5eI5OnqOPBNLWSHKh2a30DoXe8/edit?usp=sharing"",""ชุมพร!J142"")"),0)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IFERROR(__xludf.DUMMYFUNCTION("IMPORTRANGE(""https://docs.google.com/spreadsheets/d/1IYY_tgx_IHuhSq3AJ5eI5OnqOPBNLWSHKh2a30DoXe8/edit?usp=sharing"",""ชุมพร!J143"")"),0)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IFERROR(__xludf.DUMMYFUNCTION("IMPORTRANGE(""https://docs.google.com/spreadsheets/d/1IYY_tgx_IHuhSq3AJ5eI5OnqOPBNLWSHKh2a30DoXe8/edit?usp=sharing"",""ชุมพร!I144"")"),0)</f>
        <v>0</v>
      </c>
      <c r="J219" s="273">
        <f ca="1">IFERROR(__xludf.DUMMYFUNCTION("IMPORTRANGE(""https://docs.google.com/spreadsheets/d/1IYY_tgx_IHuhSq3AJ5eI5OnqOPBNLWSHKh2a30DoXe8/edit?usp=sharing"",""ชุมพร!J144"")"),0)</f>
        <v>0</v>
      </c>
      <c r="K219" s="274">
        <f ca="1">IF(I219&gt;0,J219*100/I219,0)</f>
        <v>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0</v>
      </c>
      <c r="M224" s="173">
        <f ca="1">IFERROR(__xludf.DUMMYFUNCTION("IMPORTRANGE(""https://docs.google.com/spreadsheets/d/1Yj_ptqi66GCucihVvJfMjLAmec39IyEx_6qawtMGysU/edit?usp=sharing"",""สบก!BS82"")"),0)</f>
        <v>0</v>
      </c>
      <c r="N224" s="174">
        <f ca="1">IFERROR(__xludf.DUMMYFUNCTION("IMPORTRANGE(""https://docs.google.com/spreadsheets/d/1Yj_ptqi66GCucihVvJfMjLAmec39IyEx_6qawtMGysU/edit?usp=sharing"",""สบก!BT82"")"),0)</f>
        <v>0</v>
      </c>
      <c r="O224" s="175">
        <f ca="1">IF(L224&gt;0,N224*100/L224,0)</f>
        <v>0</v>
      </c>
      <c r="P224" s="175">
        <f ca="1">IF(M224&gt;0,N224*100/M224,0)</f>
        <v>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IFERROR(__xludf.DUMMYFUNCTION("IMPORTRANGE(""https://docs.google.com/spreadsheets/d/1Yj_ptqi66GCucihVvJfMjLAmec39IyEx_6qawtMGysU/edit?usp=sharing"",""สบก!BP82"")"),0)</f>
        <v>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IFERROR(__xludf.DUMMYFUNCTION("IMPORTRANGE(""https://docs.google.com/spreadsheets/d/1IYY_tgx_IHuhSq3AJ5eI5OnqOPBNLWSHKh2a30DoXe8/edit?usp=sharing"",""ชุมพร!I149"")"),0)</f>
        <v>0</v>
      </c>
      <c r="J229" s="273">
        <f ca="1">IFERROR(__xludf.DUMMYFUNCTION("IMPORTRANGE(""https://docs.google.com/spreadsheets/d/1IYY_tgx_IHuhSq3AJ5eI5OnqOPBNLWSHKh2a30DoXe8/edit?usp=sharing"",""ชุมพร!J149"")"),0)</f>
        <v>0</v>
      </c>
      <c r="K229" s="274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IFERROR(__xludf.DUMMYFUNCTION("IMPORTRANGE(""https://docs.google.com/spreadsheets/d/1IYY_tgx_IHuhSq3AJ5eI5OnqOPBNLWSHKh2a30DoXe8/edit?usp=sharing"",""ชุมพร!J151"")"),0)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IFERROR(__xludf.DUMMYFUNCTION("IMPORTRANGE(""https://docs.google.com/spreadsheets/d/1IYY_tgx_IHuhSq3AJ5eI5OnqOPBNLWSHKh2a30DoXe8/edit?usp=sharing"",""ชุมพร!J152"")"),0)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IFERROR(__xludf.DUMMYFUNCTION("IMPORTRANGE(""https://docs.google.com/spreadsheets/d/1IYY_tgx_IHuhSq3AJ5eI5OnqOPBNLWSHKh2a30DoXe8/edit?usp=sharing"",""ชุมพร!J153"")"),0)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IFERROR(__xludf.DUMMYFUNCTION("IMPORTRANGE(""https://docs.google.com/spreadsheets/d/1IYY_tgx_IHuhSq3AJ5eI5OnqOPBNLWSHKh2a30DoXe8/edit?usp=sharing"",""ชุมพร!J154"")"),0)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IFERROR(__xludf.DUMMYFUNCTION("IMPORTRANGE(""https://docs.google.com/spreadsheets/d/1IYY_tgx_IHuhSq3AJ5eI5OnqOPBNLWSHKh2a30DoXe8/edit?usp=sharing"",""ชุมพร!I155"")"),0)</f>
        <v>0</v>
      </c>
      <c r="J235" s="195">
        <f ca="1">IFERROR(__xludf.DUMMYFUNCTION("IMPORTRANGE(""https://docs.google.com/spreadsheets/d/1IYY_tgx_IHuhSq3AJ5eI5OnqOPBNLWSHKh2a30DoXe8/edit?usp=sharing"",""ชุมพร!J155"")"),0)</f>
        <v>0</v>
      </c>
      <c r="K235" s="167">
        <f ca="1">IF(I235&gt;0,J235*100/I235,0)</f>
        <v>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IFERROR(__xludf.DUMMYFUNCTION("IMPORTRANGE(""https://docs.google.com/spreadsheets/d/1IYY_tgx_IHuhSq3AJ5eI5OnqOPBNLWSHKh2a30DoXe8/edit?usp=sharing"",""ชุมพร!J156"")"),0)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IFERROR(__xludf.DUMMYFUNCTION("IMPORTRANGE(""https://docs.google.com/spreadsheets/d/1IYY_tgx_IHuhSq3AJ5eI5OnqOPBNLWSHKh2a30DoXe8/edit?usp=sharing"",""ชุมพร!J157"")"),0)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IFERROR(__xludf.DUMMYFUNCTION("IMPORTRANGE(""https://docs.google.com/spreadsheets/d/1IYY_tgx_IHuhSq3AJ5eI5OnqOPBNLWSHKh2a30DoXe8/edit?usp=sharing"",""ชุมพร!I158"")"),0)</f>
        <v>0</v>
      </c>
      <c r="J238" s="273">
        <f ca="1">IFERROR(__xludf.DUMMYFUNCTION("IMPORTRANGE(""https://docs.google.com/spreadsheets/d/1IYY_tgx_IHuhSq3AJ5eI5OnqOPBNLWSHKh2a30DoXe8/edit?usp=sharing"",""ชุมพร!J158"")"),0)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IFERROR(__xludf.DUMMYFUNCTION("IMPORTRANGE(""https://docs.google.com/spreadsheets/d/1IYY_tgx_IHuhSq3AJ5eI5OnqOPBNLWSHKh2a30DoXe8/edit?usp=sharing"",""ชุมพร!J159"")"),"")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IFERROR(__xludf.DUMMYFUNCTION("IMPORTRANGE(""https://docs.google.com/spreadsheets/d/1IYY_tgx_IHuhSq3AJ5eI5OnqOPBNLWSHKh2a30DoXe8/edit?usp=sharing"",""ชุมพร!J161"")"),0)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IFERROR(__xludf.DUMMYFUNCTION("IMPORTRANGE(""https://docs.google.com/spreadsheets/d/1IYY_tgx_IHuhSq3AJ5eI5OnqOPBNLWSHKh2a30DoXe8/edit?usp=sharing"",""ชุมพร!J162"")"),0)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IFERROR(__xludf.DUMMYFUNCTION("IMPORTRANGE(""https://docs.google.com/spreadsheets/d/1IYY_tgx_IHuhSq3AJ5eI5OnqOPBNLWSHKh2a30DoXe8/edit?usp=sharing"",""ชุมพร!J163"")"),0)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IFERROR(__xludf.DUMMYFUNCTION("IMPORTRANGE(""https://docs.google.com/spreadsheets/d/1IYY_tgx_IHuhSq3AJ5eI5OnqOPBNLWSHKh2a30DoXe8/edit?usp=sharing"",""ชุมพร!I164"")"),0)</f>
        <v>0</v>
      </c>
      <c r="J244" s="194">
        <f ca="1">IFERROR(__xludf.DUMMYFUNCTION("IMPORTRANGE(""https://docs.google.com/spreadsheets/d/1IYY_tgx_IHuhSq3AJ5eI5OnqOPBNLWSHKh2a30DoXe8/edit?usp=sharing"",""ชุมพร!J164"")"),0)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IFERROR(__xludf.DUMMYFUNCTION("IMPORTRANGE(""https://docs.google.com/spreadsheets/d/1IYY_tgx_IHuhSq3AJ5eI5OnqOPBNLWSHKh2a30DoXe8/edit?usp=sharing"",""ชุมพร!J165"")"),0)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41740</v>
      </c>
      <c r="O250" s="155">
        <f t="shared" ref="O250:O252" ca="1" si="78">IF(L250&gt;0,N250*100/L250,0)</f>
        <v>58.459383753501399</v>
      </c>
      <c r="P250" s="155">
        <f t="shared" ref="P250:P252" ca="1" si="79">IF(M250&gt;0,N250*100/M250,0)</f>
        <v>58.459383753501399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41740</v>
      </c>
      <c r="O252" s="160">
        <f t="shared" ca="1" si="78"/>
        <v>58.459383753501399</v>
      </c>
      <c r="P252" s="160">
        <f t="shared" ca="1" si="79"/>
        <v>58.459383753501399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IFERROR(__xludf.DUMMYFUNCTION("IMPORTRANGE(""https://docs.google.com/spreadsheets/d/1Yj_ptqi66GCucihVvJfMjLAmec39IyEx_6qawtMGysU/edit?usp=sharing"",""สบก!CB82"")"),71400)</f>
        <v>71400</v>
      </c>
      <c r="N254" s="174">
        <f ca="1">IFERROR(__xludf.DUMMYFUNCTION("IMPORTRANGE(""https://docs.google.com/spreadsheets/d/1Yj_ptqi66GCucihVvJfMjLAmec39IyEx_6qawtMGysU/edit?usp=sharing"",""สบก!CC82"")"),41740)</f>
        <v>41740</v>
      </c>
      <c r="O254" s="175">
        <f ca="1">IF(L254&gt;0,N254*100/L254,0)</f>
        <v>58.459383753501399</v>
      </c>
      <c r="P254" s="175">
        <f ca="1">IF(M254&gt;0,N254*100/M254,0)</f>
        <v>58.459383753501399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IFERROR(__xludf.DUMMYFUNCTION("IMPORTRANGE(""https://docs.google.com/spreadsheets/d/1Yj_ptqi66GCucihVvJfMjLAmec39IyEx_6qawtMGysU/edit?usp=sharing"",""สบก!BY82"")"),71400)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IFERROR(__xludf.DUMMYFUNCTION("IMPORTRANGE(""https://docs.google.com/spreadsheets/d/1IYY_tgx_IHuhSq3AJ5eI5OnqOPBNLWSHKh2a30DoXe8/edit?usp=sharing"",""ชุมพร!J175"")"),0)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IFERROR(__xludf.DUMMYFUNCTION("IMPORTRANGE(""https://docs.google.com/spreadsheets/d/1IYY_tgx_IHuhSq3AJ5eI5OnqOPBNLWSHKh2a30DoXe8/edit?usp=sharing"",""ชุมพร!J176"")"),1)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IFERROR(__xludf.DUMMYFUNCTION("IMPORTRANGE(""https://docs.google.com/spreadsheets/d/1IYY_tgx_IHuhSq3AJ5eI5OnqOPBNLWSHKh2a30DoXe8/edit?usp=sharing"",""ชุมพร!J177"")"),1)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IFERROR(__xludf.DUMMYFUNCTION("IMPORTRANGE(""https://docs.google.com/spreadsheets/d/1IYY_tgx_IHuhSq3AJ5eI5OnqOPBNLWSHKh2a30DoXe8/edit?usp=sharing"",""ชุมพร!J178"")"),1)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IFERROR(__xludf.DUMMYFUNCTION("IMPORTRANGE(""https://docs.google.com/spreadsheets/d/1IYY_tgx_IHuhSq3AJ5eI5OnqOPBNLWSHKh2a30DoXe8/edit?usp=sharing"",""ชุมพร!I179"")"),1)</f>
        <v>1</v>
      </c>
      <c r="J264" s="195">
        <f ca="1">IFERROR(__xludf.DUMMYFUNCTION("IMPORTRANGE(""https://docs.google.com/spreadsheets/d/1IYY_tgx_IHuhSq3AJ5eI5OnqOPBNLWSHKh2a30DoXe8/edit?usp=sharing"",""ชุมพร!J179"")"),0)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IFERROR(__xludf.DUMMYFUNCTION("IMPORTRANGE(""https://docs.google.com/spreadsheets/d/1IYY_tgx_IHuhSq3AJ5eI5OnqOPBNLWSHKh2a30DoXe8/edit?usp=sharing"",""ชุมพร!I180"")"),20)</f>
        <v>20</v>
      </c>
      <c r="J265" s="195">
        <f ca="1">IFERROR(__xludf.DUMMYFUNCTION("IMPORTRANGE(""https://docs.google.com/spreadsheets/d/1IYY_tgx_IHuhSq3AJ5eI5OnqOPBNLWSHKh2a30DoXe8/edit?usp=sharing"",""ชุมพร!J180"")"),20)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IFERROR(__xludf.DUMMYFUNCTION("IMPORTRANGE(""https://docs.google.com/spreadsheets/d/1IYY_tgx_IHuhSq3AJ5eI5OnqOPBNLWSHKh2a30DoXe8/edit?usp=sharing"",""ชุมพร!I181"")"),20)</f>
        <v>20</v>
      </c>
      <c r="J266" s="195">
        <f ca="1">IFERROR(__xludf.DUMMYFUNCTION("IMPORTRANGE(""https://docs.google.com/spreadsheets/d/1IYY_tgx_IHuhSq3AJ5eI5OnqOPBNLWSHKh2a30DoXe8/edit?usp=sharing"",""ชุมพร!J181"")"),0)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IFERROR(__xludf.DUMMYFUNCTION("IMPORTRANGE(""https://docs.google.com/spreadsheets/d/1IYY_tgx_IHuhSq3AJ5eI5OnqOPBNLWSHKh2a30DoXe8/edit?usp=sharing"",""ชุมพร!I182"")"),1)</f>
        <v>1</v>
      </c>
      <c r="J267" s="195">
        <f ca="1">IFERROR(__xludf.DUMMYFUNCTION("IMPORTRANGE(""https://docs.google.com/spreadsheets/d/1IYY_tgx_IHuhSq3AJ5eI5OnqOPBNLWSHKh2a30DoXe8/edit?usp=sharing"",""ชุมพร!J182"")"),1)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IFERROR(__xludf.DUMMYFUNCTION("IMPORTRANGE(""https://docs.google.com/spreadsheets/d/1IYY_tgx_IHuhSq3AJ5eI5OnqOPBNLWSHKh2a30DoXe8/edit?usp=sharing"",""ชุมพร!J183"")"),0)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IFERROR(__xludf.DUMMYFUNCTION("IMPORTRANGE(""https://docs.google.com/spreadsheets/d/1IYY_tgx_IHuhSq3AJ5eI5OnqOPBNLWSHKh2a30DoXe8/edit?usp=sharing"",""ชุมพร!J184"")"),0)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183600</v>
      </c>
      <c r="M271" s="156">
        <f t="shared" ca="1" si="83"/>
        <v>183600</v>
      </c>
      <c r="N271" s="156">
        <f t="shared" ca="1" si="83"/>
        <v>178781</v>
      </c>
      <c r="O271" s="155">
        <f t="shared" ref="O271:O273" ca="1" si="84">IF(L271&gt;0,N271*100/L271,0)</f>
        <v>97.37527233115469</v>
      </c>
      <c r="P271" s="155">
        <f t="shared" ref="P271:P273" ca="1" si="85">IF(M271&gt;0,N271*100/M271,0)</f>
        <v>97.37527233115469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183600</v>
      </c>
      <c r="M273" s="161">
        <f t="shared" ca="1" si="87"/>
        <v>183600</v>
      </c>
      <c r="N273" s="161">
        <f t="shared" ca="1" si="87"/>
        <v>178781</v>
      </c>
      <c r="O273" s="160">
        <f t="shared" ca="1" si="84"/>
        <v>97.37527233115469</v>
      </c>
      <c r="P273" s="160">
        <f t="shared" ca="1" si="85"/>
        <v>97.37527233115469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183600</v>
      </c>
      <c r="M275" s="173">
        <f ca="1">IFERROR(__xludf.DUMMYFUNCTION("IMPORTRANGE(""https://docs.google.com/spreadsheets/d/1Yj_ptqi66GCucihVvJfMjLAmec39IyEx_6qawtMGysU/edit?usp=sharing"",""สบก!CK82"")"),183600)</f>
        <v>183600</v>
      </c>
      <c r="N275" s="174">
        <f ca="1">IFERROR(__xludf.DUMMYFUNCTION("IMPORTRANGE(""https://docs.google.com/spreadsheets/d/1Yj_ptqi66GCucihVvJfMjLAmec39IyEx_6qawtMGysU/edit?usp=sharing"",""สบก!CL82"")"),178781)</f>
        <v>178781</v>
      </c>
      <c r="O275" s="175">
        <f ca="1">IF(L275&gt;0,N275*100/L275,0)</f>
        <v>97.37527233115469</v>
      </c>
      <c r="P275" s="175">
        <f ca="1">IF(M275&gt;0,N275*100/M275,0)</f>
        <v>97.37527233115469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IFERROR(__xludf.DUMMYFUNCTION("IMPORTRANGE(""https://docs.google.com/spreadsheets/d/1Yj_ptqi66GCucihVvJfMjLAmec39IyEx_6qawtMGysU/edit?usp=sharing"",""สบก!CG82"")"),0)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IFERROR(__xludf.DUMMYFUNCTION("IMPORTRANGE(""https://docs.google.com/spreadsheets/d/1Yj_ptqi66GCucihVvJfMjLAmec39IyEx_6qawtMGysU/edit?usp=sharing"",""สบก!CH82"")"),183600)</f>
        <v>183600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IFERROR(__xludf.DUMMYFUNCTION("IMPORTRANGE(""https://docs.google.com/spreadsheets/d/1IYY_tgx_IHuhSq3AJ5eI5OnqOPBNLWSHKh2a30DoXe8/edit?usp=sharing"",""ชุมพร!J191"")"),0)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IFERROR(__xludf.DUMMYFUNCTION("IMPORTRANGE(""https://docs.google.com/spreadsheets/d/1IYY_tgx_IHuhSq3AJ5eI5OnqOPBNLWSHKh2a30DoXe8/edit?usp=sharing"",""ชุมพร!J192"")"),1)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IFERROR(__xludf.DUMMYFUNCTION("IMPORTRANGE(""https://docs.google.com/spreadsheets/d/1IYY_tgx_IHuhSq3AJ5eI5OnqOPBNLWSHKh2a30DoXe8/edit?usp=sharing"",""ชุมพร!J193"")"),1)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IFERROR(__xludf.DUMMYFUNCTION("IMPORTRANGE(""https://docs.google.com/spreadsheets/d/1IYY_tgx_IHuhSq3AJ5eI5OnqOPBNLWSHKh2a30DoXe8/edit?usp=sharing"",""ชุมพร!J194"")"),1)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IFERROR(__xludf.DUMMYFUNCTION("IMPORTRANGE(""https://docs.google.com/spreadsheets/d/1IYY_tgx_IHuhSq3AJ5eI5OnqOPBNLWSHKh2a30DoXe8/edit?usp=sharing"",""ชุมพร!I195"")"),20)</f>
        <v>20</v>
      </c>
      <c r="J285" s="195">
        <f ca="1">IFERROR(__xludf.DUMMYFUNCTION("IMPORTRANGE(""https://docs.google.com/spreadsheets/d/1IYY_tgx_IHuhSq3AJ5eI5OnqOPBNLWSHKh2a30DoXe8/edit?usp=sharing"",""ชุมพร!J195"")"),20)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IFERROR(__xludf.DUMMYFUNCTION("IMPORTRANGE(""https://docs.google.com/spreadsheets/d/1IYY_tgx_IHuhSq3AJ5eI5OnqOPBNLWSHKh2a30DoXe8/edit?usp=sharing"",""ชุมพร!J196"")"),0)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IFERROR(__xludf.DUMMYFUNCTION("IMPORTRANGE(""https://docs.google.com/spreadsheets/d/1IYY_tgx_IHuhSq3AJ5eI5OnqOPBNLWSHKh2a30DoXe8/edit?usp=sharing"",""ชุมพร!J197"")"),0)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95360</v>
      </c>
      <c r="M290" s="156">
        <f t="shared" ca="1" si="88"/>
        <v>95360</v>
      </c>
      <c r="N290" s="156">
        <f t="shared" ca="1" si="88"/>
        <v>94900</v>
      </c>
      <c r="O290" s="155">
        <f t="shared" ref="O290:O292" ca="1" si="89">IF(L290&gt;0,N290*100/L290,0)</f>
        <v>99.517617449664428</v>
      </c>
      <c r="P290" s="155">
        <f t="shared" ref="P290:P292" ca="1" si="90">IF(M290&gt;0,N290*100/M290,0)</f>
        <v>99.517617449664428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95360</v>
      </c>
      <c r="M292" s="161">
        <f t="shared" ca="1" si="92"/>
        <v>95360</v>
      </c>
      <c r="N292" s="161">
        <f t="shared" ca="1" si="92"/>
        <v>94900</v>
      </c>
      <c r="O292" s="160">
        <f t="shared" ca="1" si="89"/>
        <v>99.517617449664428</v>
      </c>
      <c r="P292" s="160">
        <f t="shared" ca="1" si="90"/>
        <v>99.517617449664428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95360</v>
      </c>
      <c r="M294" s="173">
        <f ca="1">IFERROR(__xludf.DUMMYFUNCTION("IMPORTRANGE(""https://docs.google.com/spreadsheets/d/1Yj_ptqi66GCucihVvJfMjLAmec39IyEx_6qawtMGysU/edit?usp=sharing"",""สบก!CT82"")"),95360)</f>
        <v>95360</v>
      </c>
      <c r="N294" s="174">
        <f ca="1">IFERROR(__xludf.DUMMYFUNCTION("IMPORTRANGE(""https://docs.google.com/spreadsheets/d/1Yj_ptqi66GCucihVvJfMjLAmec39IyEx_6qawtMGysU/edit?usp=sharing"",""สบก!CU82"")"),94900)</f>
        <v>94900</v>
      </c>
      <c r="O294" s="175">
        <f ca="1">IF(L294&gt;0,N294*100/L294,0)</f>
        <v>99.517617449664428</v>
      </c>
      <c r="P294" s="175">
        <f ca="1">IF(M294&gt;0,N294*100/M294,0)</f>
        <v>99.517617449664428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IFERROR(__xludf.DUMMYFUNCTION("IMPORTRANGE(""https://docs.google.com/spreadsheets/d/1Yj_ptqi66GCucihVvJfMjLAmec39IyEx_6qawtMGysU/edit?usp=sharing"",""สบก!CQ82"")"),95360)</f>
        <v>95360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IFERROR(__xludf.DUMMYFUNCTION("IMPORTRANGE(""https://docs.google.com/spreadsheets/d/1IYY_tgx_IHuhSq3AJ5eI5OnqOPBNLWSHKh2a30DoXe8/edit?usp=sharing"",""ชุมพร!J205"")"),0)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IFERROR(__xludf.DUMMYFUNCTION("IMPORTRANGE(""https://docs.google.com/spreadsheets/d/1IYY_tgx_IHuhSq3AJ5eI5OnqOPBNLWSHKh2a30DoXe8/edit?usp=sharing"",""ชุมพร!J206"")"),1)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IFERROR(__xludf.DUMMYFUNCTION("IMPORTRANGE(""https://docs.google.com/spreadsheets/d/1IYY_tgx_IHuhSq3AJ5eI5OnqOPBNLWSHKh2a30DoXe8/edit?usp=sharing"",""ชุมพร!J207"")"),1)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IFERROR(__xludf.DUMMYFUNCTION("IMPORTRANGE(""https://docs.google.com/spreadsheets/d/1IYY_tgx_IHuhSq3AJ5eI5OnqOPBNLWSHKh2a30DoXe8/edit?usp=sharing"",""ชุมพร!J208"")"),1)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IFERROR(__xludf.DUMMYFUNCTION("IMPORTRANGE(""https://docs.google.com/spreadsheets/d/1IYY_tgx_IHuhSq3AJ5eI5OnqOPBNLWSHKh2a30DoXe8/edit?usp=sharing"",""ชุมพร!I209"")"),30)</f>
        <v>30</v>
      </c>
      <c r="J304" s="210">
        <f ca="1">IFERROR(__xludf.DUMMYFUNCTION("IMPORTRANGE(""https://docs.google.com/spreadsheets/d/1IYY_tgx_IHuhSq3AJ5eI5OnqOPBNLWSHKh2a30DoXe8/edit?usp=sharing"",""ชุมพร!J209"")"),30)</f>
        <v>30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IFERROR(__xludf.DUMMYFUNCTION("IMPORTRANGE(""https://docs.google.com/spreadsheets/d/1IYY_tgx_IHuhSq3AJ5eI5OnqOPBNLWSHKh2a30DoXe8/edit?usp=sharing"",""ชุมพร!I211"")"),30)</f>
        <v>30</v>
      </c>
      <c r="J306" s="210">
        <f ca="1">IFERROR(__xludf.DUMMYFUNCTION("IMPORTRANGE(""https://docs.google.com/spreadsheets/d/1IYY_tgx_IHuhSq3AJ5eI5OnqOPBNLWSHKh2a30DoXe8/edit?usp=sharing"",""ชุมพร!J211"")"),30)</f>
        <v>30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IFERROR(__xludf.DUMMYFUNCTION("IMPORTRANGE(""https://docs.google.com/spreadsheets/d/1IYY_tgx_IHuhSq3AJ5eI5OnqOPBNLWSHKh2a30DoXe8/edit?usp=sharing"",""ชุมพร!J212"")"),0)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IFERROR(__xludf.DUMMYFUNCTION("IMPORTRANGE(""https://docs.google.com/spreadsheets/d/1IYY_tgx_IHuhSq3AJ5eI5OnqOPBNLWSHKh2a30DoXe8/edit?usp=sharing"",""ชุมพร!J213"")"),0)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231600</v>
      </c>
      <c r="M310" s="156">
        <f t="shared" ca="1" si="93"/>
        <v>391600</v>
      </c>
      <c r="N310" s="156">
        <f t="shared" ca="1" si="93"/>
        <v>301610</v>
      </c>
      <c r="O310" s="155">
        <f t="shared" ref="O310:O312" ca="1" si="94">IF(L310&gt;0,N310*100/L310,0)</f>
        <v>130.22884283246978</v>
      </c>
      <c r="P310" s="155">
        <f t="shared" ref="P310:P312" ca="1" si="95">IF(M310&gt;0,N310*100/M310,0)</f>
        <v>77.019918283963221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231600</v>
      </c>
      <c r="M312" s="161">
        <f t="shared" ca="1" si="97"/>
        <v>391600</v>
      </c>
      <c r="N312" s="161">
        <f t="shared" ca="1" si="97"/>
        <v>301610</v>
      </c>
      <c r="O312" s="160">
        <f t="shared" ca="1" si="94"/>
        <v>130.22884283246978</v>
      </c>
      <c r="P312" s="160">
        <f t="shared" ca="1" si="95"/>
        <v>77.019918283963221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231600</v>
      </c>
      <c r="M314" s="173">
        <f ca="1">IFERROR(__xludf.DUMMYFUNCTION("IMPORTRANGE(""https://docs.google.com/spreadsheets/d/1Yj_ptqi66GCucihVvJfMjLAmec39IyEx_6qawtMGysU/edit?usp=sharing"",""สบก!DC82"")"),391600)</f>
        <v>391600</v>
      </c>
      <c r="N314" s="174">
        <f ca="1">IFERROR(__xludf.DUMMYFUNCTION("IMPORTRANGE(""https://docs.google.com/spreadsheets/d/1Yj_ptqi66GCucihVvJfMjLAmec39IyEx_6qawtMGysU/edit?usp=sharing"",""สบก!DD82"")"),301610)</f>
        <v>301610</v>
      </c>
      <c r="O314" s="175">
        <f ca="1">IF(L314&gt;0,N314*100/L314,0)</f>
        <v>130.22884283246978</v>
      </c>
      <c r="P314" s="175">
        <f ca="1">IF(M314&gt;0,N314*100/M314,0)</f>
        <v>77.019918283963221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IFERROR(__xludf.DUMMYFUNCTION("IMPORTRANGE(""https://docs.google.com/spreadsheets/d/1Yj_ptqi66GCucihVvJfMjLAmec39IyEx_6qawtMGysU/edit?usp=sharing"",""สบก!CZ82"")"),231600)</f>
        <v>231600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IFERROR(__xludf.DUMMYFUNCTION("IMPORTRANGE(""https://docs.google.com/spreadsheets/d/1IYY_tgx_IHuhSq3AJ5eI5OnqOPBNLWSHKh2a30DoXe8/edit?usp=sharing"",""ชุมพร!J220"")"),0)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IFERROR(__xludf.DUMMYFUNCTION("IMPORTRANGE(""https://docs.google.com/spreadsheets/d/1IYY_tgx_IHuhSq3AJ5eI5OnqOPBNLWSHKh2a30DoXe8/edit?usp=sharing"",""ชุมพร!J221"")"),1)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IFERROR(__xludf.DUMMYFUNCTION("IMPORTRANGE(""https://docs.google.com/spreadsheets/d/1IYY_tgx_IHuhSq3AJ5eI5OnqOPBNLWSHKh2a30DoXe8/edit?usp=sharing"",""ชุมพร!J222"")"),1)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IFERROR(__xludf.DUMMYFUNCTION("IMPORTRANGE(""https://docs.google.com/spreadsheets/d/1IYY_tgx_IHuhSq3AJ5eI5OnqOPBNLWSHKh2a30DoXe8/edit?usp=sharing"",""ชุมพร!J223"")"),1)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IFERROR(__xludf.DUMMYFUNCTION("IMPORTRANGE(""https://docs.google.com/spreadsheets/d/1IYY_tgx_IHuhSq3AJ5eI5OnqOPBNLWSHKh2a30DoXe8/edit?usp=sharing"",""ชุมพร!I224"")"),1)</f>
        <v>1</v>
      </c>
      <c r="J324" s="210">
        <f ca="1">IFERROR(__xludf.DUMMYFUNCTION("IMPORTRANGE(""https://docs.google.com/spreadsheets/d/1IYY_tgx_IHuhSq3AJ5eI5OnqOPBNLWSHKh2a30DoXe8/edit?usp=sharing"",""ชุมพร!J224"")"),1)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IFERROR(__xludf.DUMMYFUNCTION("IMPORTRANGE(""https://docs.google.com/spreadsheets/d/1IYY_tgx_IHuhSq3AJ5eI5OnqOPBNLWSHKh2a30DoXe8/edit?usp=sharing"",""ชุมพร!J225"")"),0)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IFERROR(__xludf.DUMMYFUNCTION("IMPORTRANGE(""https://docs.google.com/spreadsheets/d/1IYY_tgx_IHuhSq3AJ5eI5OnqOPBNLWSHKh2a30DoXe8/edit?usp=sharing"",""ชุมพร!J226"")"),0)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IFERROR(__xludf.DUMMYFUNCTION("IMPORTRANGE(""https://docs.google.com/spreadsheets/d/1IYY_tgx_IHuhSq3AJ5eI5OnqOPBNLWSHKh2a30DoXe8/edit?usp=sharing"",""ชุมพร!J228"")"),206)</f>
        <v>206</v>
      </c>
      <c r="K328" s="323">
        <f ca="1">IF(I328&gt;0,J328*100/I328,0)</f>
        <v>85.833333333333329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624360</v>
      </c>
      <c r="M329" s="156">
        <f t="shared" ca="1" si="98"/>
        <v>664860</v>
      </c>
      <c r="N329" s="156">
        <f t="shared" ca="1" si="98"/>
        <v>494005.07</v>
      </c>
      <c r="O329" s="155">
        <f t="shared" ref="O329:O331" ca="1" si="99">IF(L329&gt;0,N329*100/L329,0)</f>
        <v>79.121831955922872</v>
      </c>
      <c r="P329" s="155">
        <f t="shared" ref="P329:P331" ca="1" si="100">IF(M329&gt;0,N329*100/M329,0)</f>
        <v>74.302119243148937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624360</v>
      </c>
      <c r="M331" s="161">
        <f t="shared" ca="1" si="102"/>
        <v>664860</v>
      </c>
      <c r="N331" s="161">
        <f t="shared" ca="1" si="102"/>
        <v>494005.07</v>
      </c>
      <c r="O331" s="160">
        <f t="shared" ca="1" si="99"/>
        <v>79.121831955922872</v>
      </c>
      <c r="P331" s="160">
        <f t="shared" ca="1" si="100"/>
        <v>74.302119243148937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624360</v>
      </c>
      <c r="M333" s="173">
        <f ca="1">IFERROR(__xludf.DUMMYFUNCTION("IMPORTRANGE(""https://docs.google.com/spreadsheets/d/1Yj_ptqi66GCucihVvJfMjLAmec39IyEx_6qawtMGysU/edit?usp=sharing"",""สบก!DL82"")"),664860)</f>
        <v>664860</v>
      </c>
      <c r="N333" s="174">
        <f ca="1">IFERROR(__xludf.DUMMYFUNCTION("IMPORTRANGE(""https://docs.google.com/spreadsheets/d/1Yj_ptqi66GCucihVvJfMjLAmec39IyEx_6qawtMGysU/edit?usp=sharing"",""สบก!DM82"")"),494005.07)</f>
        <v>494005.07</v>
      </c>
      <c r="O333" s="175">
        <f ca="1">IF(L333&gt;0,N333*100/L333,0)</f>
        <v>79.121831955922872</v>
      </c>
      <c r="P333" s="175">
        <f ca="1">IF(M333&gt;0,N333*100/M333,0)</f>
        <v>74.302119243148937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IFERROR(__xludf.DUMMYFUNCTION("IMPORTRANGE(""https://docs.google.com/spreadsheets/d/1Yj_ptqi66GCucihVvJfMjLAmec39IyEx_6qawtMGysU/edit?usp=sharing"",""สบก!DH82"")"),194400)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IFERROR(__xludf.DUMMYFUNCTION("IMPORTRANGE(""https://docs.google.com/spreadsheets/d/1Yj_ptqi66GCucihVvJfMjLAmec39IyEx_6qawtMGysU/edit?usp=sharing"",""สบก!DI82"")"),429960)</f>
        <v>429960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IFERROR(__xludf.DUMMYFUNCTION("IMPORTRANGE(""https://docs.google.com/spreadsheets/d/1IYY_tgx_IHuhSq3AJ5eI5OnqOPBNLWSHKh2a30DoXe8/edit?usp=sharing"",""ชุมพร!I234"")"),0)</f>
        <v>0</v>
      </c>
      <c r="J339" s="194">
        <f ca="1">IFERROR(__xludf.DUMMYFUNCTION("IMPORTRANGE(""https://docs.google.com/spreadsheets/d/1IYY_tgx_IHuhSq3AJ5eI5OnqOPBNLWSHKh2a30DoXe8/edit?usp=sharing"",""ชุมพร!J234"")"),174)</f>
        <v>174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IFERROR(__xludf.DUMMYFUNCTION("IMPORTRANGE(""https://docs.google.com/spreadsheets/d/1IYY_tgx_IHuhSq3AJ5eI5OnqOPBNLWSHKh2a30DoXe8/edit?usp=sharing"",""ชุมพร!I235"")"),2510)</f>
        <v>2510</v>
      </c>
      <c r="J340" s="194">
        <f ca="1">IFERROR(__xludf.DUMMYFUNCTION("IMPORTRANGE(""https://docs.google.com/spreadsheets/d/1IYY_tgx_IHuhSq3AJ5eI5OnqOPBNLWSHKh2a30DoXe8/edit?usp=sharing"",""ชุมพร!J235"")"),1750.88)</f>
        <v>1750.88</v>
      </c>
      <c r="K340" s="348">
        <f t="shared" ca="1" si="103"/>
        <v>69.756175298804777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IFERROR(__xludf.DUMMYFUNCTION("IMPORTRANGE(""https://docs.google.com/spreadsheets/d/1IYY_tgx_IHuhSq3AJ5eI5OnqOPBNLWSHKh2a30DoXe8/edit?usp=sharing"",""ชุมพร!I236"")"),240)</f>
        <v>240</v>
      </c>
      <c r="J341" s="194">
        <f ca="1">IFERROR(__xludf.DUMMYFUNCTION("IMPORTRANGE(""https://docs.google.com/spreadsheets/d/1IYY_tgx_IHuhSq3AJ5eI5OnqOPBNLWSHKh2a30DoXe8/edit?usp=sharing"",""ชุมพร!J236"")"),204)</f>
        <v>204</v>
      </c>
      <c r="K341" s="348">
        <f t="shared" ca="1" si="103"/>
        <v>85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4">
        <f ca="1">IFERROR(__xludf.DUMMYFUNCTION("IMPORTRANGE(""https://docs.google.com/spreadsheets/d/1IYY_tgx_IHuhSq3AJ5eI5OnqOPBNLWSHKh2a30DoXe8/edit?usp=sharing"",""ชุมพร!J237"")"),2510.39)</f>
        <v>2510.39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IFERROR(__xludf.DUMMYFUNCTION("IMPORTRANGE(""https://docs.google.com/spreadsheets/d/1IYY_tgx_IHuhSq3AJ5eI5OnqOPBNLWSHKh2a30DoXe8/edit?usp=sharing"",""ชุมพร!I238"")"),240)</f>
        <v>240</v>
      </c>
      <c r="J343" s="194">
        <f ca="1">IFERROR(__xludf.DUMMYFUNCTION("IMPORTRANGE(""https://docs.google.com/spreadsheets/d/1IYY_tgx_IHuhSq3AJ5eI5OnqOPBNLWSHKh2a30DoXe8/edit?usp=sharing"",""ชุมพร!J238"")"),0)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4">
        <f ca="1">IFERROR(__xludf.DUMMYFUNCTION("IMPORTRANGE(""https://docs.google.com/spreadsheets/d/1IYY_tgx_IHuhSq3AJ5eI5OnqOPBNLWSHKh2a30DoXe8/edit?usp=sharing"",""ชุมพร!J239"")"),0)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IFERROR(__xludf.DUMMYFUNCTION("IMPORTRANGE(""https://docs.google.com/spreadsheets/d/1IYY_tgx_IHuhSq3AJ5eI5OnqOPBNLWSHKh2a30DoXe8/edit?usp=sharing"",""ชุมพร!I240"")"),240)</f>
        <v>240</v>
      </c>
      <c r="J345" s="194">
        <f ca="1">IFERROR(__xludf.DUMMYFUNCTION("IMPORTRANGE(""https://docs.google.com/spreadsheets/d/1IYY_tgx_IHuhSq3AJ5eI5OnqOPBNLWSHKh2a30DoXe8/edit?usp=sharing"",""ชุมพร!J240"")"),206)</f>
        <v>206</v>
      </c>
      <c r="K345" s="348">
        <f t="shared" ca="1" si="103"/>
        <v>85.833333333333329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4">
        <f ca="1">IFERROR(__xludf.DUMMYFUNCTION("IMPORTRANGE(""https://docs.google.com/spreadsheets/d/1IYY_tgx_IHuhSq3AJ5eI5OnqOPBNLWSHKh2a30DoXe8/edit?usp=sharing"",""ชุมพร!J241"")"),2559.37)</f>
        <v>2559.37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IFERROR(__xludf.DUMMYFUNCTION("IMPORTRANGE(""https://docs.google.com/spreadsheets/d/1IYY_tgx_IHuhSq3AJ5eI5OnqOPBNLWSHKh2a30DoXe8/edit?usp=sharing"",""ชุมพร!L242"")"),2083897)</f>
        <v>2083897</v>
      </c>
      <c r="M347" s="364"/>
      <c r="N347" s="364">
        <f ca="1">IFERROR(__xludf.DUMMYFUNCTION("IMPORTRANGE(""https://docs.google.com/spreadsheets/d/1IYY_tgx_IHuhSq3AJ5eI5OnqOPBNLWSHKh2a30DoXe8/edit?usp=sharing"",""ชุมพร!M242"")"),1447787.62)</f>
        <v>1447787.62</v>
      </c>
      <c r="O347" s="364">
        <f ca="1">+IF(L347&gt;0,N347*100/L347,0)</f>
        <v>69.475008601672727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IFERROR(__xludf.DUMMYFUNCTION("IMPORTRANGE(""https://docs.google.com/spreadsheets/d/1IYY_tgx_IHuhSq3AJ5eI5OnqOPBNLWSHKh2a30DoXe8/edit?usp=sharing"",""ชุมพร!J244"")"),175)</f>
        <v>175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IFERROR(__xludf.DUMMYFUNCTION("IMPORTRANGE(""https://docs.google.com/spreadsheets/d/1IYY_tgx_IHuhSq3AJ5eI5OnqOPBNLWSHKh2a30DoXe8/edit?usp=sharing"",""ชุมพร!L244"")"),369210)</f>
        <v>369210</v>
      </c>
      <c r="M349" s="379"/>
      <c r="N349" s="379">
        <f ca="1">IFERROR(__xludf.DUMMYFUNCTION("IMPORTRANGE(""https://docs.google.com/spreadsheets/d/1IYY_tgx_IHuhSq3AJ5eI5OnqOPBNLWSHKh2a30DoXe8/edit?usp=sharing"",""ชุมพร!M244"")"),269770)</f>
        <v>269770</v>
      </c>
      <c r="O349" s="379">
        <f ca="1">+IF(L349&gt;0,N349*100/L349,0)</f>
        <v>73.066818341865059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IFERROR(__xludf.DUMMYFUNCTION("IMPORTRANGE(""https://docs.google.com/spreadsheets/d/1IYY_tgx_IHuhSq3AJ5eI5OnqOPBNLWSHKh2a30DoXe8/edit?usp=sharing"",""ชุมพร!L246"")"),0)</f>
        <v>0</v>
      </c>
      <c r="M351" s="168"/>
      <c r="N351" s="168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IFERROR(__xludf.DUMMYFUNCTION("IMPORTRANGE(""https://docs.google.com/spreadsheets/d/1IYY_tgx_IHuhSq3AJ5eI5OnqOPBNLWSHKh2a30DoXe8/edit?usp=sharing"",""ชุมพร!L247"")"),369210)</f>
        <v>369210</v>
      </c>
      <c r="M352" s="169"/>
      <c r="N352" s="168">
        <f ca="1">IFERROR(__xludf.DUMMYFUNCTION("IMPORTRANGE(""https://docs.google.com/spreadsheets/d/1IYY_tgx_IHuhSq3AJ5eI5OnqOPBNLWSHKh2a30DoXe8/edit?usp=sharing"",""ชุมพร!M247"")"),269770)</f>
        <v>269770</v>
      </c>
      <c r="O352" s="169">
        <f t="shared" ca="1" si="105"/>
        <v>73.066818341865059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IFERROR(__xludf.DUMMYFUNCTION("IMPORTRANGE(""https://docs.google.com/spreadsheets/d/1IYY_tgx_IHuhSq3AJ5eI5OnqOPBNLWSHKh2a30DoXe8/edit?usp=sharing"",""ชุมพร!L248"")"),0)</f>
        <v>0</v>
      </c>
      <c r="M353" s="175"/>
      <c r="N353" s="175">
        <f ca="1">IFERROR(__xludf.DUMMYFUNCTION("IMPORTRANGE(""https://docs.google.com/spreadsheets/d/1IYY_tgx_IHuhSq3AJ5eI5OnqOPBNLWSHKh2a30DoXe8/edit?usp=sharing"",""ชุมพร!M248"")"),0)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IFERROR(__xludf.DUMMYFUNCTION("IMPORTRANGE(""https://docs.google.com/spreadsheets/d/1IYY_tgx_IHuhSq3AJ5eI5OnqOPBNLWSHKh2a30DoXe8/edit?usp=sharing"",""ชุมพร!L249"")"),369210)</f>
        <v>369210</v>
      </c>
      <c r="M354" s="175"/>
      <c r="N354" s="172">
        <f ca="1">IFERROR(__xludf.DUMMYFUNCTION("IMPORTRANGE(""https://docs.google.com/spreadsheets/d/1IYY_tgx_IHuhSq3AJ5eI5OnqOPBNLWSHKh2a30DoXe8/edit?usp=sharing"",""ชุมพร!M249"")"),269770)</f>
        <v>269770</v>
      </c>
      <c r="O354" s="175">
        <f t="shared" ca="1" si="105"/>
        <v>73.066818341865059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IFERROR(__xludf.DUMMYFUNCTION("IMPORTRANGE(""https://docs.google.com/spreadsheets/d/1IYY_tgx_IHuhSq3AJ5eI5OnqOPBNLWSHKh2a30DoXe8/edit?usp=sharing"",""ชุมพร!M250"")"),44580)</f>
        <v>44580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IFERROR(__xludf.DUMMYFUNCTION("IMPORTRANGE(""https://docs.google.com/spreadsheets/d/1IYY_tgx_IHuhSq3AJ5eI5OnqOPBNLWSHKh2a30DoXe8/edit?usp=sharing"",""ชุมพร!M251"")"),142500)</f>
        <v>142500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IFERROR(__xludf.DUMMYFUNCTION("IMPORTRANGE(""https://docs.google.com/spreadsheets/d/1IYY_tgx_IHuhSq3AJ5eI5OnqOPBNLWSHKh2a30DoXe8/edit?usp=sharing"",""ชุมพร!M252"")"),75175)</f>
        <v>75175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IFERROR(__xludf.DUMMYFUNCTION("IMPORTRANGE(""https://docs.google.com/spreadsheets/d/1IYY_tgx_IHuhSq3AJ5eI5OnqOPBNLWSHKh2a30DoXe8/edit?usp=sharing"",""ชุมพร!M253"")"),7515)</f>
        <v>7515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IFERROR(__xludf.DUMMYFUNCTION("IMPORTRANGE(""https://docs.google.com/spreadsheets/d/1IYY_tgx_IHuhSq3AJ5eI5OnqOPBNLWSHKh2a30DoXe8/edit?usp=sharing"",""ชุมพร!J255"")"),0)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IFERROR(__xludf.DUMMYFUNCTION("IMPORTRANGE(""https://docs.google.com/spreadsheets/d/1IYY_tgx_IHuhSq3AJ5eI5OnqOPBNLWSHKh2a30DoXe8/edit?usp=sharing"",""ชุมพร!J256"")"),1)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IFERROR(__xludf.DUMMYFUNCTION("IMPORTRANGE(""https://docs.google.com/spreadsheets/d/1IYY_tgx_IHuhSq3AJ5eI5OnqOPBNLWSHKh2a30DoXe8/edit?usp=sharing"",""ชุมพร!J257"")"),1)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IFERROR(__xludf.DUMMYFUNCTION("IMPORTRANGE(""https://docs.google.com/spreadsheets/d/1IYY_tgx_IHuhSq3AJ5eI5OnqOPBNLWSHKh2a30DoXe8/edit?usp=sharing"",""ชุมพร!J258"")"),1)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IFERROR(__xludf.DUMMYFUNCTION("IMPORTRANGE(""https://docs.google.com/spreadsheets/d/1IYY_tgx_IHuhSq3AJ5eI5OnqOPBNLWSHKh2a30DoXe8/edit?usp=sharing"",""ชุมพร!J166"")"),0)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IFERROR(__xludf.DUMMYFUNCTION("IMPORTRANGE(""https://docs.google.com/spreadsheets/d/1IYY_tgx_IHuhSq3AJ5eI5OnqOPBNLWSHKh2a30DoXe8/edit?usp=sharing"",""ชุมพร!J166"")"),0)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IFERROR(__xludf.DUMMYFUNCTION("IMPORTRANGE(""https://docs.google.com/spreadsheets/d/1IYY_tgx_IHuhSq3AJ5eI5OnqOPBNLWSHKh2a30DoXe8/edit?usp=sharing"",""ชุมพร!J166"")"),0)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IFERROR(__xludf.DUMMYFUNCTION("IMPORTRANGE(""https://docs.google.com/spreadsheets/d/1IYY_tgx_IHuhSq3AJ5eI5OnqOPBNLWSHKh2a30DoXe8/edit?usp=sharing"",""ชุมพร!J166"")"),0)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IFERROR(__xludf.DUMMYFUNCTION("IMPORTRANGE(""https://docs.google.com/spreadsheets/d/1IYY_tgx_IHuhSq3AJ5eI5OnqOPBNLWSHKh2a30DoXe8/edit?usp=sharing"",""ชุมพร!I263"")"),35)</f>
        <v>35</v>
      </c>
      <c r="J368" s="194">
        <f ca="1">IFERROR(__xludf.DUMMYFUNCTION("IMPORTRANGE(""https://docs.google.com/spreadsheets/d/1IYY_tgx_IHuhSq3AJ5eI5OnqOPBNLWSHKh2a30DoXe8/edit?usp=sharing"",""ชุมพร!J263"")"),35)</f>
        <v>35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IFERROR(__xludf.DUMMYFUNCTION("IMPORTRANGE(""https://docs.google.com/spreadsheets/d/1IYY_tgx_IHuhSq3AJ5eI5OnqOPBNLWSHKh2a30DoXe8/edit?usp=sharing"",""ชุมพร!I164"")"),0)</f>
        <v>0</v>
      </c>
      <c r="J369" s="210">
        <f ca="1">IFERROR(__xludf.DUMMYFUNCTION("IMPORTRANGE(""https://docs.google.com/spreadsheets/d/1IYY_tgx_IHuhSq3AJ5eI5OnqOPBNLWSHKh2a30DoXe8/edit?usp=sharing"",""ชุมพร!J164"")"),0)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IFERROR(__xludf.DUMMYFUNCTION("IMPORTRANGE(""https://docs.google.com/spreadsheets/d/1IYY_tgx_IHuhSq3AJ5eI5OnqOPBNLWSHKh2a30DoXe8/edit?usp=sharing"",""ชุมพร!I265"")"),35)</f>
        <v>35</v>
      </c>
      <c r="J370" s="210">
        <f ca="1">IFERROR(__xludf.DUMMYFUNCTION("IMPORTRANGE(""https://docs.google.com/spreadsheets/d/1IYY_tgx_IHuhSq3AJ5eI5OnqOPBNLWSHKh2a30DoXe8/edit?usp=sharing"",""ชุมพร!J265"")"),35)</f>
        <v>35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IFERROR(__xludf.DUMMYFUNCTION("IMPORTRANGE(""https://docs.google.com/spreadsheets/d/1IYY_tgx_IHuhSq3AJ5eI5OnqOPBNLWSHKh2a30DoXe8/edit?usp=sharing"",""ชุมพร!I164"")"),0)</f>
        <v>0</v>
      </c>
      <c r="J371" s="195">
        <f ca="1">IFERROR(__xludf.DUMMYFUNCTION("IMPORTRANGE(""https://docs.google.com/spreadsheets/d/1IYY_tgx_IHuhSq3AJ5eI5OnqOPBNLWSHKh2a30DoXe8/edit?usp=sharing"",""ชุมพร!J164"")"),0)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IFERROR(__xludf.DUMMYFUNCTION("IMPORTRANGE(""https://docs.google.com/spreadsheets/d/1IYY_tgx_IHuhSq3AJ5eI5OnqOPBNLWSHKh2a30DoXe8/edit?usp=sharing"",""ชุมพร!I267"")"),35)</f>
        <v>35</v>
      </c>
      <c r="J372" s="195">
        <f ca="1">IFERROR(__xludf.DUMMYFUNCTION("IMPORTRANGE(""https://docs.google.com/spreadsheets/d/1IYY_tgx_IHuhSq3AJ5eI5OnqOPBNLWSHKh2a30DoXe8/edit?usp=sharing"",""ชุมพร!J267"")"),35)</f>
        <v>35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IFERROR(__xludf.DUMMYFUNCTION("IMPORTRANGE(""https://docs.google.com/spreadsheets/d/1IYY_tgx_IHuhSq3AJ5eI5OnqOPBNLWSHKh2a30DoXe8/edit?usp=sharing"",""ชุมพร!I164"")"),0)</f>
        <v>0</v>
      </c>
      <c r="J373" s="210">
        <f ca="1">IFERROR(__xludf.DUMMYFUNCTION("IMPORTRANGE(""https://docs.google.com/spreadsheets/d/1IYY_tgx_IHuhSq3AJ5eI5OnqOPBNLWSHKh2a30DoXe8/edit?usp=sharing"",""ชุมพร!J164"")"),0)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IFERROR(__xludf.DUMMYFUNCTION("IMPORTRANGE(""https://docs.google.com/spreadsheets/d/1IYY_tgx_IHuhSq3AJ5eI5OnqOPBNLWSHKh2a30DoXe8/edit?usp=sharing"",""ชุมพร!I164"")"),0)</f>
        <v>0</v>
      </c>
      <c r="J374" s="194">
        <f ca="1">IFERROR(__xludf.DUMMYFUNCTION("IMPORTRANGE(""https://docs.google.com/spreadsheets/d/1IYY_tgx_IHuhSq3AJ5eI5OnqOPBNLWSHKh2a30DoXe8/edit?usp=sharing"",""ชุมพร!J164"")"),0)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IFERROR(__xludf.DUMMYFUNCTION("IMPORTRANGE(""https://docs.google.com/spreadsheets/d/1IYY_tgx_IHuhSq3AJ5eI5OnqOPBNLWSHKh2a30DoXe8/edit?usp=sharing"",""ชุมพร!I270"")"),175)</f>
        <v>175</v>
      </c>
      <c r="J375" s="194">
        <f ca="1">IFERROR(__xludf.DUMMYFUNCTION("IMPORTRANGE(""https://docs.google.com/spreadsheets/d/1IYY_tgx_IHuhSq3AJ5eI5OnqOPBNLWSHKh2a30DoXe8/edit?usp=sharing"",""ชุมพร!J270"")"),175)</f>
        <v>175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IFERROR(__xludf.DUMMYFUNCTION("IMPORTRANGE(""https://docs.google.com/spreadsheets/d/1IYY_tgx_IHuhSq3AJ5eI5OnqOPBNLWSHKh2a30DoXe8/edit?usp=sharing"",""ชุมพร!I271"")"),50)</f>
        <v>50</v>
      </c>
      <c r="J376" s="195">
        <f ca="1">IFERROR(__xludf.DUMMYFUNCTION("IMPORTRANGE(""https://docs.google.com/spreadsheets/d/1IYY_tgx_IHuhSq3AJ5eI5OnqOPBNLWSHKh2a30DoXe8/edit?usp=sharing"",""ชุมพร!J271"")"),50)</f>
        <v>50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IFERROR(__xludf.DUMMYFUNCTION("IMPORTRANGE(""https://docs.google.com/spreadsheets/d/1IYY_tgx_IHuhSq3AJ5eI5OnqOPBNLWSHKh2a30DoXe8/edit?usp=sharing"",""ชุมพร!I272"")"),125)</f>
        <v>125</v>
      </c>
      <c r="J377" s="210">
        <f ca="1">IFERROR(__xludf.DUMMYFUNCTION("IMPORTRANGE(""https://docs.google.com/spreadsheets/d/1IYY_tgx_IHuhSq3AJ5eI5OnqOPBNLWSHKh2a30DoXe8/edit?usp=sharing"",""ชุมพร!J272"")"),125)</f>
        <v>125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IFERROR(__xludf.DUMMYFUNCTION("IMPORTRANGE(""https://docs.google.com/spreadsheets/d/1IYY_tgx_IHuhSq3AJ5eI5OnqOPBNLWSHKh2a30DoXe8/edit?usp=sharing"",""ชุมพร!J273"")"),0)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IFERROR(__xludf.DUMMYFUNCTION("IMPORTRANGE(""https://docs.google.com/spreadsheets/d/1IYY_tgx_IHuhSq3AJ5eI5OnqOPBNLWSHKh2a30DoXe8/edit?usp=sharing"",""ชุมพร!J274"")"),0)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IFERROR(__xludf.DUMMYFUNCTION("IMPORTRANGE(""https://docs.google.com/spreadsheets/d/1IYY_tgx_IHuhSq3AJ5eI5OnqOPBNLWSHKh2a30DoXe8/edit?usp=sharing"",""ชุมพร!M275"")"),427240)</f>
        <v>427240</v>
      </c>
      <c r="O380" s="379">
        <f ca="1">+IF(L380&gt;0,N380*100/L380,0)</f>
        <v>92.850002173251625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IFERROR(__xludf.DUMMYFUNCTION("IMPORTRANGE(""https://docs.google.com/spreadsheets/d/1IYY_tgx_IHuhSq3AJ5eI5OnqOPBNLWSHKh2a30DoXe8/edit?usp=sharing"",""ชุมพร!L277"")"),0)</f>
        <v>0</v>
      </c>
      <c r="M382" s="168"/>
      <c r="N382" s="168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IFERROR(__xludf.DUMMYFUNCTION("IMPORTRANGE(""https://docs.google.com/spreadsheets/d/1IYY_tgx_IHuhSq3AJ5eI5OnqOPBNLWSHKh2a30DoXe8/edit?usp=sharing"",""ชุมพร!M278"")"),427240)</f>
        <v>427240</v>
      </c>
      <c r="O383" s="169">
        <f t="shared" ca="1" si="109"/>
        <v>92.850002173251625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IFERROR(__xludf.DUMMYFUNCTION("IMPORTRANGE(""https://docs.google.com/spreadsheets/d/1IYY_tgx_IHuhSq3AJ5eI5OnqOPBNLWSHKh2a30DoXe8/edit?usp=sharing"",""ชุมพร!L279"")"),0)</f>
        <v>0</v>
      </c>
      <c r="M384" s="175"/>
      <c r="N384" s="175">
        <f ca="1">IFERROR(__xludf.DUMMYFUNCTION("IMPORTRANGE(""https://docs.google.com/spreadsheets/d/1IYY_tgx_IHuhSq3AJ5eI5OnqOPBNLWSHKh2a30DoXe8/edit?usp=sharing"",""ชุมพร!M279"")"),0)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IFERROR(__xludf.DUMMYFUNCTION("IMPORTRANGE(""https://docs.google.com/spreadsheets/d/1IYY_tgx_IHuhSq3AJ5eI5OnqOPBNLWSHKh2a30DoXe8/edit?usp=sharing"",""ชุมพร!L280"")"),460140)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IFERROR(__xludf.DUMMYFUNCTION("IMPORTRANGE(""https://docs.google.com/spreadsheets/d/1IYY_tgx_IHuhSq3AJ5eI5OnqOPBNLWSHKh2a30DoXe8/edit?usp=sharing"",""ชุมพร!M280"")"),427240)</f>
        <v>427240</v>
      </c>
      <c r="O385" s="175">
        <f t="shared" ca="1" si="109"/>
        <v>92.850002173251625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IFERROR(__xludf.DUMMYFUNCTION("IMPORTRANGE(""https://docs.google.com/spreadsheets/d/1IYY_tgx_IHuhSq3AJ5eI5OnqOPBNLWSHKh2a30DoXe8/edit?usp=sharing"",""ชุมพร!M281"")"),111000)</f>
        <v>111000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IFERROR(__xludf.DUMMYFUNCTION("IMPORTRANGE(""https://docs.google.com/spreadsheets/d/1IYY_tgx_IHuhSq3AJ5eI5OnqOPBNLWSHKh2a30DoXe8/edit?usp=sharing"",""ชุมพร!M282"")"),312500)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IFERROR(__xludf.DUMMYFUNCTION("IMPORTRANGE(""https://docs.google.com/spreadsheets/d/1IYY_tgx_IHuhSq3AJ5eI5OnqOPBNLWSHKh2a30DoXe8/edit?usp=sharing"",""ชุมพร!M284"")"),3740)</f>
        <v>3740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IFERROR(__xludf.DUMMYFUNCTION("IMPORTRANGE(""https://docs.google.com/spreadsheets/d/1IYY_tgx_IHuhSq3AJ5eI5OnqOPBNLWSHKh2a30DoXe8/edit?usp=sharing"",""ชุมพร!J286"")"),0)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IFERROR(__xludf.DUMMYFUNCTION("IMPORTRANGE(""https://docs.google.com/spreadsheets/d/1IYY_tgx_IHuhSq3AJ5eI5OnqOPBNLWSHKh2a30DoXe8/edit?usp=sharing"",""ชุมพร!J287"")"),1)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IFERROR(__xludf.DUMMYFUNCTION("IMPORTRANGE(""https://docs.google.com/spreadsheets/d/1IYY_tgx_IHuhSq3AJ5eI5OnqOPBNLWSHKh2a30DoXe8/edit?usp=sharing"",""ชุมพร!J288"")"),1)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IFERROR(__xludf.DUMMYFUNCTION("IMPORTRANGE(""https://docs.google.com/spreadsheets/d/1IYY_tgx_IHuhSq3AJ5eI5OnqOPBNLWSHKh2a30DoXe8/edit?usp=sharing"",""ชุมพร!J289"")"),1)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IFERROR(__xludf.DUMMYFUNCTION("IMPORTRANGE(""https://docs.google.com/spreadsheets/d/1IYY_tgx_IHuhSq3AJ5eI5OnqOPBNLWSHKh2a30DoXe8/edit?usp=sharing"",""ชุมพร!I291"")"),50)</f>
        <v>50</v>
      </c>
      <c r="J396" s="204">
        <f ca="1">IFERROR(__xludf.DUMMYFUNCTION("IMPORTRANGE(""https://docs.google.com/spreadsheets/d/1IYY_tgx_IHuhSq3AJ5eI5OnqOPBNLWSHKh2a30DoXe8/edit?usp=sharing"",""ชุมพร!J291"")"),50)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IFERROR(__xludf.DUMMYFUNCTION("IMPORTRANGE(""https://docs.google.com/spreadsheets/d/1IYY_tgx_IHuhSq3AJ5eI5OnqOPBNLWSHKh2a30DoXe8/edit?usp=sharing"",""ชุมพร!I292"")"),500)</f>
        <v>500</v>
      </c>
      <c r="J397" s="204">
        <f ca="1">IFERROR(__xludf.DUMMYFUNCTION("IMPORTRANGE(""https://docs.google.com/spreadsheets/d/1IYY_tgx_IHuhSq3AJ5eI5OnqOPBNLWSHKh2a30DoXe8/edit?usp=sharing"",""ชุมพร!J292"")"),500)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IFERROR(__xludf.DUMMYFUNCTION("IMPORTRANGE(""https://docs.google.com/spreadsheets/d/1IYY_tgx_IHuhSq3AJ5eI5OnqOPBNLWSHKh2a30DoXe8/edit?usp=sharing"",""ชุมพร!I293"")"),50)</f>
        <v>50</v>
      </c>
      <c r="J398" s="204">
        <f ca="1">IFERROR(__xludf.DUMMYFUNCTION("IMPORTRANGE(""https://docs.google.com/spreadsheets/d/1IYY_tgx_IHuhSq3AJ5eI5OnqOPBNLWSHKh2a30DoXe8/edit?usp=sharing"",""ชุมพร!J293"")"),50)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IFERROR(__xludf.DUMMYFUNCTION("IMPORTRANGE(""https://docs.google.com/spreadsheets/d/1IYY_tgx_IHuhSq3AJ5eI5OnqOPBNLWSHKh2a30DoXe8/edit?usp=sharing"",""ชุมพร!J294"")"),0)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IFERROR(__xludf.DUMMYFUNCTION("IMPORTRANGE(""https://docs.google.com/spreadsheets/d/1IYY_tgx_IHuhSq3AJ5eI5OnqOPBNLWSHKh2a30DoXe8/edit?usp=sharing"",""ชุมพร!J295"")"),0)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IFERROR(__xludf.DUMMYFUNCTION("IMPORTRANGE(""https://docs.google.com/spreadsheets/d/1IYY_tgx_IHuhSq3AJ5eI5OnqOPBNLWSHKh2a30DoXe8/edit?usp=sharing"",""ชุมพร!J296"")"),135)</f>
        <v>135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IFERROR(__xludf.DUMMYFUNCTION("IMPORTRANGE(""https://docs.google.com/spreadsheets/d/1IYY_tgx_IHuhSq3AJ5eI5OnqOPBNLWSHKh2a30DoXe8/edit?usp=sharing"",""ชุมพร!M296"")"),127205)</f>
        <v>127205</v>
      </c>
      <c r="O401" s="379">
        <f ca="1">+IF(L401&gt;0,N401*100/L401,0)</f>
        <v>79.527977492966556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IFERROR(__xludf.DUMMYFUNCTION("IMPORTRANGE(""https://docs.google.com/spreadsheets/d/1IYY_tgx_IHuhSq3AJ5eI5OnqOPBNLWSHKh2a30DoXe8/edit?usp=sharing"",""ชุมพร!J297"")"),45)</f>
        <v>45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IFERROR(__xludf.DUMMYFUNCTION("IMPORTRANGE(""https://docs.google.com/spreadsheets/d/1IYY_tgx_IHuhSq3AJ5eI5OnqOPBNLWSHKh2a30DoXe8/edit?usp=sharing"",""ชุมพร!L298"")"),0)</f>
        <v>0</v>
      </c>
      <c r="M403" s="168"/>
      <c r="N403" s="175">
        <f ca="1">IFERROR(__xludf.DUMMYFUNCTION("IMPORTRANGE(""https://docs.google.com/spreadsheets/d/1IYY_tgx_IHuhSq3AJ5eI5OnqOPBNLWSHKh2a30DoXe8/edit?usp=sharing"",""ชุมพร!M298"")"),0)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IFERROR(__xludf.DUMMYFUNCTION("IMPORTRANGE(""https://docs.google.com/spreadsheets/d/1IYY_tgx_IHuhSq3AJ5eI5OnqOPBNLWSHKh2a30DoXe8/edit?usp=sharing"",""ชุมพร!M299"")"),127205)</f>
        <v>127205</v>
      </c>
      <c r="O404" s="175">
        <f t="shared" ca="1" si="112"/>
        <v>79.527977492966556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IFERROR(__xludf.DUMMYFUNCTION("IMPORTRANGE(""https://docs.google.com/spreadsheets/d/1IYY_tgx_IHuhSq3AJ5eI5OnqOPBNLWSHKh2a30DoXe8/edit?usp=sharing"",""ชุมพร!L300"")"),0)</f>
        <v>0</v>
      </c>
      <c r="M405" s="175"/>
      <c r="N405" s="175">
        <f ca="1">IFERROR(__xludf.DUMMYFUNCTION("IMPORTRANGE(""https://docs.google.com/spreadsheets/d/1IYY_tgx_IHuhSq3AJ5eI5OnqOPBNLWSHKh2a30DoXe8/edit?usp=sharing"",""ชุมพร!M300"")"),0)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IFERROR(__xludf.DUMMYFUNCTION("IMPORTRANGE(""https://docs.google.com/spreadsheets/d/1IYY_tgx_IHuhSq3AJ5eI5OnqOPBNLWSHKh2a30DoXe8/edit?usp=sharing"",""ชุมพร!L301"")"),159950)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IFERROR(__xludf.DUMMYFUNCTION("IMPORTRANGE(""https://docs.google.com/spreadsheets/d/1IYY_tgx_IHuhSq3AJ5eI5OnqOPBNLWSHKh2a30DoXe8/edit?usp=sharing"",""ชุมพร!M301"")"),127205)</f>
        <v>127205</v>
      </c>
      <c r="O406" s="175">
        <f t="shared" ca="1" si="112"/>
        <v>79.527977492966556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IFERROR(__xludf.DUMMYFUNCTION("IMPORTRANGE(""https://docs.google.com/spreadsheets/d/1IYY_tgx_IHuhSq3AJ5eI5OnqOPBNLWSHKh2a30DoXe8/edit?usp=sharing"",""ชุมพร!M302"")"),94993)</f>
        <v>94993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IFERROR(__xludf.DUMMYFUNCTION("IMPORTRANGE(""https://docs.google.com/spreadsheets/d/1IYY_tgx_IHuhSq3AJ5eI5OnqOPBNLWSHKh2a30DoXe8/edit?usp=sharing"",""ชุมพร!M303"")"),17450)</f>
        <v>17450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IFERROR(__xludf.DUMMYFUNCTION("IMPORTRANGE(""https://docs.google.com/spreadsheets/d/1IYY_tgx_IHuhSq3AJ5eI5OnqOPBNLWSHKh2a30DoXe8/edit?usp=sharing"",""ชุมพร!M305"")"),14762)</f>
        <v>14762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IFERROR(__xludf.DUMMYFUNCTION("IMPORTRANGE(""https://docs.google.com/spreadsheets/d/1IYY_tgx_IHuhSq3AJ5eI5OnqOPBNLWSHKh2a30DoXe8/edit?usp=sharing"",""ชุมพร!J307"")"),0)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IFERROR(__xludf.DUMMYFUNCTION("IMPORTRANGE(""https://docs.google.com/spreadsheets/d/1IYY_tgx_IHuhSq3AJ5eI5OnqOPBNLWSHKh2a30DoXe8/edit?usp=sharing"",""ชุมพร!J308"")"),1)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IFERROR(__xludf.DUMMYFUNCTION("IMPORTRANGE(""https://docs.google.com/spreadsheets/d/1IYY_tgx_IHuhSq3AJ5eI5OnqOPBNLWSHKh2a30DoXe8/edit?usp=sharing"",""ชุมพร!J309"")"),1)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IFERROR(__xludf.DUMMYFUNCTION("IMPORTRANGE(""https://docs.google.com/spreadsheets/d/1IYY_tgx_IHuhSq3AJ5eI5OnqOPBNLWSHKh2a30DoXe8/edit?usp=sharing"",""ชุมพร!J310"")"),1)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IFERROR(__xludf.DUMMYFUNCTION("IMPORTRANGE(""https://docs.google.com/spreadsheets/d/1IYY_tgx_IHuhSq3AJ5eI5OnqOPBNLWSHKh2a30DoXe8/edit?usp=sharing"",""ชุมพร!I311"")"),45)</f>
        <v>45</v>
      </c>
      <c r="J416" s="207">
        <f ca="1">IFERROR(__xludf.DUMMYFUNCTION("IMPORTRANGE(""https://docs.google.com/spreadsheets/d/1IYY_tgx_IHuhSq3AJ5eI5OnqOPBNLWSHKh2a30DoXe8/edit?usp=sharing"",""ชุมพร!J311"")"),45)</f>
        <v>45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IFERROR(__xludf.DUMMYFUNCTION("IMPORTRANGE(""https://docs.google.com/spreadsheets/d/1IYY_tgx_IHuhSq3AJ5eI5OnqOPBNLWSHKh2a30DoXe8/edit?usp=sharing"",""ชุมพร!J328"")"),0)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IFERROR(__xludf.DUMMYFUNCTION("IMPORTRANGE(""https://docs.google.com/spreadsheets/d/1IYY_tgx_IHuhSq3AJ5eI5OnqOPBNLWSHKh2a30DoXe8/edit?usp=sharing"",""ชุมพร!J329"")"),0)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IFERROR(__xludf.DUMMYFUNCTION("IMPORTRANGE(""https://docs.google.com/spreadsheets/d/1IYY_tgx_IHuhSq3AJ5eI5OnqOPBNLWSHKh2a30DoXe8/edit?usp=sharing"",""ชุมพร!M330"")"),197600)</f>
        <v>197600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IFERROR(__xludf.DUMMYFUNCTION("IMPORTRANGE(""https://docs.google.com/spreadsheets/d/1IYY_tgx_IHuhSq3AJ5eI5OnqOPBNLWSHKh2a30DoXe8/edit?usp=sharing"",""ชุมพร!L331"")"),0)</f>
        <v>0</v>
      </c>
      <c r="M436" s="168"/>
      <c r="N436" s="175">
        <f ca="1">IFERROR(__xludf.DUMMYFUNCTION("IMPORTRANGE(""https://docs.google.com/spreadsheets/d/1IYY_tgx_IHuhSq3AJ5eI5OnqOPBNLWSHKh2a30DoXe8/edit?usp=sharing"",""ชุมพร!M331"")"),0)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IFERROR(__xludf.DUMMYFUNCTION("IMPORTRANGE(""https://docs.google.com/spreadsheets/d/1IYY_tgx_IHuhSq3AJ5eI5OnqOPBNLWSHKh2a30DoXe8/edit?usp=sharing"",""ชุมพร!L332"")"),197600)</f>
        <v>197600</v>
      </c>
      <c r="M437" s="169"/>
      <c r="N437" s="175">
        <f ca="1">IFERROR(__xludf.DUMMYFUNCTION("IMPORTRANGE(""https://docs.google.com/spreadsheets/d/1IYY_tgx_IHuhSq3AJ5eI5OnqOPBNLWSHKh2a30DoXe8/edit?usp=sharing"",""ชุมพร!M332"")"),197600)</f>
        <v>197600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IFERROR(__xludf.DUMMYFUNCTION("IMPORTRANGE(""https://docs.google.com/spreadsheets/d/1IYY_tgx_IHuhSq3AJ5eI5OnqOPBNLWSHKh2a30DoXe8/edit?usp=sharing"",""ชุมพร!L333"")"),0)</f>
        <v>0</v>
      </c>
      <c r="M438" s="175"/>
      <c r="N438" s="175">
        <f ca="1">IFERROR(__xludf.DUMMYFUNCTION("IMPORTRANGE(""https://docs.google.com/spreadsheets/d/1IYY_tgx_IHuhSq3AJ5eI5OnqOPBNLWSHKh2a30DoXe8/edit?usp=sharing"",""ชุมพร!M333"")"),0)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IFERROR(__xludf.DUMMYFUNCTION("IMPORTRANGE(""https://docs.google.com/spreadsheets/d/1IYY_tgx_IHuhSq3AJ5eI5OnqOPBNLWSHKh2a30DoXe8/edit?usp=sharing"",""ชุมพร!L334"")"),197600)</f>
        <v>197600</v>
      </c>
      <c r="M439" s="175"/>
      <c r="N439" s="175">
        <f ca="1">IFERROR(__xludf.DUMMYFUNCTION("IMPORTRANGE(""https://docs.google.com/spreadsheets/d/1IYY_tgx_IHuhSq3AJ5eI5OnqOPBNLWSHKh2a30DoXe8/edit?usp=sharing"",""ชุมพร!M334"")"),197600)</f>
        <v>197600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IFERROR(__xludf.DUMMYFUNCTION("IMPORTRANGE(""https://docs.google.com/spreadsheets/d/1IYY_tgx_IHuhSq3AJ5eI5OnqOPBNLWSHKh2a30DoXe8/edit?usp=sharing"",""ชุมพร!M335"")"),128780)</f>
        <v>128780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IFERROR(__xludf.DUMMYFUNCTION("IMPORTRANGE(""https://docs.google.com/spreadsheets/d/1IYY_tgx_IHuhSq3AJ5eI5OnqOPBNLWSHKh2a30DoXe8/edit?usp=sharing"",""ชุมพร!M338"")"),68820)</f>
        <v>68820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IFERROR(__xludf.DUMMYFUNCTION("IMPORTRANGE(""https://docs.google.com/spreadsheets/d/1IYY_tgx_IHuhSq3AJ5eI5OnqOPBNLWSHKh2a30DoXe8/edit?usp=sharing"",""ชุมพร!J340"")"),0)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IFERROR(__xludf.DUMMYFUNCTION("IMPORTRANGE(""https://docs.google.com/spreadsheets/d/1IYY_tgx_IHuhSq3AJ5eI5OnqOPBNLWSHKh2a30DoXe8/edit?usp=sharing"",""ชุมพร!J341"")"),1)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IFERROR(__xludf.DUMMYFUNCTION("IMPORTRANGE(""https://docs.google.com/spreadsheets/d/1IYY_tgx_IHuhSq3AJ5eI5OnqOPBNLWSHKh2a30DoXe8/edit?usp=sharing"",""ชุมพร!J342"")"),1)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IFERROR(__xludf.DUMMYFUNCTION("IMPORTRANGE(""https://docs.google.com/spreadsheets/d/1IYY_tgx_IHuhSq3AJ5eI5OnqOPBNLWSHKh2a30DoXe8/edit?usp=sharing"",""ชุมพร!J343"")"),1)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7">
        <f ca="1">IFERROR(__xludf.DUMMYFUNCTION("IMPORTRANGE(""https://docs.google.com/spreadsheets/d/1IYY_tgx_IHuhSq3AJ5eI5OnqOPBNLWSHKh2a30DoXe8/edit?usp=sharing"",""ชุมพร!J344"")"),60)</f>
        <v>60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5">
        <f ca="1">IFERROR(__xludf.DUMMYFUNCTION("IMPORTRANGE(""https://docs.google.com/spreadsheets/d/1IYY_tgx_IHuhSq3AJ5eI5OnqOPBNLWSHKh2a30DoXe8/edit?usp=sharing"",""ชุมพร!J345"")"),20)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4">
        <f ca="1">IFERROR(__xludf.DUMMYFUNCTION("IMPORTRANGE(""https://docs.google.com/spreadsheets/d/1IYY_tgx_IHuhSq3AJ5eI5OnqOPBNLWSHKh2a30DoXe8/edit?usp=sharing"",""ชุมพร!J346"")"),40)</f>
        <v>40</v>
      </c>
      <c r="K451" s="167">
        <f t="shared" ca="1" si="115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IFERROR(__xludf.DUMMYFUNCTION("IMPORTRANGE(""https://docs.google.com/spreadsheets/d/1IYY_tgx_IHuhSq3AJ5eI5OnqOPBNLWSHKh2a30DoXe8/edit?usp=sharing"",""ชุมพร!I347"")"),0)</f>
        <v>0</v>
      </c>
      <c r="J452" s="194">
        <f ca="1">IFERROR(__xludf.DUMMYFUNCTION("IMPORTRANGE(""https://docs.google.com/spreadsheets/d/1IYY_tgx_IHuhSq3AJ5eI5OnqOPBNLWSHKh2a30DoXe8/edit?usp=sharing"",""ชุมพร!J347"")"),0)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IFERROR(__xludf.DUMMYFUNCTION("IMPORTRANGE(""https://docs.google.com/spreadsheets/d/1IYY_tgx_IHuhSq3AJ5eI5OnqOPBNLWSHKh2a30DoXe8/edit?usp=sharing"",""ชุมพร!J348"")"),1)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IFERROR(__xludf.DUMMYFUNCTION("IMPORTRANGE(""https://docs.google.com/spreadsheets/d/1IYY_tgx_IHuhSq3AJ5eI5OnqOPBNLWSHKh2a30DoXe8/edit?usp=sharing"",""ชุมพร!J349"")"),1)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IFERROR(__xludf.DUMMYFUNCTION("IMPORTRANGE(""https://docs.google.com/spreadsheets/d/1IYY_tgx_IHuhSq3AJ5eI5OnqOPBNLWSHKh2a30DoXe8/edit?usp=sharing"",""ชุมพร!J350"")"),108088)</f>
        <v>108088</v>
      </c>
      <c r="K455" s="378">
        <f ca="1">IF(I455&gt;0,J455*100/I455,0)</f>
        <v>100.00092518064152</v>
      </c>
      <c r="L455" s="379">
        <f ca="1">IFERROR(__xludf.DUMMYFUNCTION("IMPORTRANGE(""https://docs.google.com/spreadsheets/d/1IYY_tgx_IHuhSq3AJ5eI5OnqOPBNLWSHKh2a30DoXe8/edit?usp=sharing"",""ชุมพร!L350"")"),710357)</f>
        <v>710357</v>
      </c>
      <c r="M455" s="379"/>
      <c r="N455" s="379">
        <f ca="1">IFERROR(__xludf.DUMMYFUNCTION("IMPORTRANGE(""https://docs.google.com/spreadsheets/d/1IYY_tgx_IHuhSq3AJ5eI5OnqOPBNLWSHKh2a30DoXe8/edit?usp=sharing"",""ชุมพร!M350"")"),297936.62)</f>
        <v>297936.62</v>
      </c>
      <c r="O455" s="379">
        <f t="shared" ref="O455:O459" ca="1" si="116">+IF(L455&gt;0,N455*100/L455,0)</f>
        <v>41.941815171807981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IFERROR(__xludf.DUMMYFUNCTION("IMPORTRANGE(""https://docs.google.com/spreadsheets/d/1IYY_tgx_IHuhSq3AJ5eI5OnqOPBNLWSHKh2a30DoXe8/edit?usp=sharing"",""ชุมพร!L351"")"),0)</f>
        <v>0</v>
      </c>
      <c r="M456" s="168"/>
      <c r="N456" s="175">
        <f ca="1">IFERROR(__xludf.DUMMYFUNCTION("IMPORTRANGE(""https://docs.google.com/spreadsheets/d/1IYY_tgx_IHuhSq3AJ5eI5OnqOPBNLWSHKh2a30DoXe8/edit?usp=sharing"",""ชุมพร!M351"")"),0)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IFERROR(__xludf.DUMMYFUNCTION("IMPORTRANGE(""https://docs.google.com/spreadsheets/d/1IYY_tgx_IHuhSq3AJ5eI5OnqOPBNLWSHKh2a30DoXe8/edit?usp=sharing"",""ชุมพร!L352"")"),710357)</f>
        <v>710357</v>
      </c>
      <c r="M457" s="169"/>
      <c r="N457" s="175">
        <f ca="1">IFERROR(__xludf.DUMMYFUNCTION("IMPORTRANGE(""https://docs.google.com/spreadsheets/d/1IYY_tgx_IHuhSq3AJ5eI5OnqOPBNLWSHKh2a30DoXe8/edit?usp=sharing"",""ชุมพร!M352"")"),297936.62)</f>
        <v>297936.62</v>
      </c>
      <c r="O457" s="175">
        <f t="shared" ca="1" si="116"/>
        <v>41.941815171807981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IFERROR(__xludf.DUMMYFUNCTION("IMPORTRANGE(""https://docs.google.com/spreadsheets/d/1IYY_tgx_IHuhSq3AJ5eI5OnqOPBNLWSHKh2a30DoXe8/edit?usp=sharing"",""ชุมพร!L353"")"),0)</f>
        <v>0</v>
      </c>
      <c r="M458" s="175"/>
      <c r="N458" s="175">
        <f ca="1">IFERROR(__xludf.DUMMYFUNCTION("IMPORTRANGE(""https://docs.google.com/spreadsheets/d/1IYY_tgx_IHuhSq3AJ5eI5OnqOPBNLWSHKh2a30DoXe8/edit?usp=sharing"",""ชุมพร!M353"")"),0)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IFERROR(__xludf.DUMMYFUNCTION("IMPORTRANGE(""https://docs.google.com/spreadsheets/d/1IYY_tgx_IHuhSq3AJ5eI5OnqOPBNLWSHKh2a30DoXe8/edit?usp=sharing"",""ชุมพร!L354"")"),710357)</f>
        <v>710357</v>
      </c>
      <c r="M459" s="175"/>
      <c r="N459" s="175">
        <f ca="1">IFERROR(__xludf.DUMMYFUNCTION("IMPORTRANGE(""https://docs.google.com/spreadsheets/d/1IYY_tgx_IHuhSq3AJ5eI5OnqOPBNLWSHKh2a30DoXe8/edit?usp=sharing"",""ชุมพร!M354"")"),297936.62)</f>
        <v>297936.62</v>
      </c>
      <c r="O459" s="175">
        <f t="shared" ca="1" si="116"/>
        <v>41.941815171807981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IFERROR(__xludf.DUMMYFUNCTION("IMPORTRANGE(""https://docs.google.com/spreadsheets/d/1IYY_tgx_IHuhSq3AJ5eI5OnqOPBNLWSHKh2a30DoXe8/edit?usp=sharing"",""ชุมพร!M355"")"),0)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IFERROR(__xludf.DUMMYFUNCTION("IMPORTRANGE(""https://docs.google.com/spreadsheets/d/1IYY_tgx_IHuhSq3AJ5eI5OnqOPBNLWSHKh2a30DoXe8/edit?usp=sharing"",""ชุมพร!M356"")"),0)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IFERROR(__xludf.DUMMYFUNCTION("IMPORTRANGE(""https://docs.google.com/spreadsheets/d/1IYY_tgx_IHuhSq3AJ5eI5OnqOPBNLWSHKh2a30DoXe8/edit?usp=sharing"",""ชุมพร!M357"")"),74808)</f>
        <v>74808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IFERROR(__xludf.DUMMYFUNCTION("IMPORTRANGE(""https://docs.google.com/spreadsheets/d/1IYY_tgx_IHuhSq3AJ5eI5OnqOPBNLWSHKh2a30DoXe8/edit?usp=sharing"",""ชุมพร!M358"")"),223128.62)</f>
        <v>223128.62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IFERROR(__xludf.DUMMYFUNCTION("IMPORTRANGE(""https://docs.google.com/spreadsheets/d/1IYY_tgx_IHuhSq3AJ5eI5OnqOPBNLWSHKh2a30DoXe8/edit?usp=sharing"",""ชุมพร!I359"")"),108087)</f>
        <v>108087</v>
      </c>
      <c r="J464" s="273">
        <f ca="1">IFERROR(__xludf.DUMMYFUNCTION("IMPORTRANGE(""https://docs.google.com/spreadsheets/d/1IYY_tgx_IHuhSq3AJ5eI5OnqOPBNLWSHKh2a30DoXe8/edit?usp=sharing"",""ชุมพร!J359"")"),108088)</f>
        <v>108088</v>
      </c>
      <c r="K464" s="274">
        <f t="shared" ref="K464:K515" ca="1" si="117">IF(I464&gt;0,J464*100/I464,0)</f>
        <v>100.00092518064152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8">
        <f t="shared" ca="1" si="117"/>
        <v>100.00092518064152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IFERROR(__xludf.DUMMYFUNCTION("IMPORTRANGE(""https://docs.google.com/spreadsheets/d/1IYY_tgx_IHuhSq3AJ5eI5OnqOPBNLWSHKh2a30DoXe8/edit?usp=sharing"",""ชุมพร!I362"")"),0)</f>
        <v>0</v>
      </c>
      <c r="J467" s="195">
        <f ca="1">IFERROR(__xludf.DUMMYFUNCTION("IMPORTRANGE(""https://docs.google.com/spreadsheets/d/1IYY_tgx_IHuhSq3AJ5eI5OnqOPBNLWSHKh2a30DoXe8/edit?usp=sharing"",""ชุมพร!J362"")"),90777)</f>
        <v>90777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IFERROR(__xludf.DUMMYFUNCTION("IMPORTRANGE(""https://docs.google.com/spreadsheets/d/1IYY_tgx_IHuhSq3AJ5eI5OnqOPBNLWSHKh2a30DoXe8/edit?usp=sharing"",""ชุมพร!I363"")"),0)</f>
        <v>0</v>
      </c>
      <c r="J468" s="195">
        <f ca="1">IFERROR(__xludf.DUMMYFUNCTION("IMPORTRANGE(""https://docs.google.com/spreadsheets/d/1IYY_tgx_IHuhSq3AJ5eI5OnqOPBNLWSHKh2a30DoXe8/edit?usp=sharing"",""ชุมพร!J363"")"),8917)</f>
        <v>8917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IFERROR(__xludf.DUMMYFUNCTION("IMPORTRANGE(""https://docs.google.com/spreadsheets/d/1IYY_tgx_IHuhSq3AJ5eI5OnqOPBNLWSHKh2a30DoXe8/edit?usp=sharing"",""ชุมพร!I364"")"),0)</f>
        <v>0</v>
      </c>
      <c r="J469" s="195">
        <f ca="1">IFERROR(__xludf.DUMMYFUNCTION("IMPORTRANGE(""https://docs.google.com/spreadsheets/d/1IYY_tgx_IHuhSq3AJ5eI5OnqOPBNLWSHKh2a30DoXe8/edit?usp=sharing"",""ชุมพร!J364"")"),15323)</f>
        <v>15323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IFERROR(__xludf.DUMMYFUNCTION("IMPORTRANGE(""https://docs.google.com/spreadsheets/d/1IYY_tgx_IHuhSq3AJ5eI5OnqOPBNLWSHKh2a30DoXe8/edit?usp=sharing"",""ชุมพร!I365"")"),0)</f>
        <v>0</v>
      </c>
      <c r="J470" s="195">
        <f ca="1">IFERROR(__xludf.DUMMYFUNCTION("IMPORTRANGE(""https://docs.google.com/spreadsheets/d/1IYY_tgx_IHuhSq3AJ5eI5OnqOPBNLWSHKh2a30DoXe8/edit?usp=sharing"",""ชุมพร!J365"")"),1533)</f>
        <v>1533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IFERROR(__xludf.DUMMYFUNCTION("IMPORTRANGE(""https://docs.google.com/spreadsheets/d/1IYY_tgx_IHuhSq3AJ5eI5OnqOPBNLWSHKh2a30DoXe8/edit?usp=sharing"",""ชุมพร!I366"")"),0)</f>
        <v>0</v>
      </c>
      <c r="J471" s="195">
        <f ca="1">IFERROR(__xludf.DUMMYFUNCTION("IMPORTRANGE(""https://docs.google.com/spreadsheets/d/1IYY_tgx_IHuhSq3AJ5eI5OnqOPBNLWSHKh2a30DoXe8/edit?usp=sharing"",""ชุมพร!J366"")"),1988)</f>
        <v>1988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IFERROR(__xludf.DUMMYFUNCTION("IMPORTRANGE(""https://docs.google.com/spreadsheets/d/1IYY_tgx_IHuhSq3AJ5eI5OnqOPBNLWSHKh2a30DoXe8/edit?usp=sharing"",""ชุมพร!I367"")"),0)</f>
        <v>0</v>
      </c>
      <c r="J472" s="195">
        <f ca="1">IFERROR(__xludf.DUMMYFUNCTION("IMPORTRANGE(""https://docs.google.com/spreadsheets/d/1IYY_tgx_IHuhSq3AJ5eI5OnqOPBNLWSHKh2a30DoXe8/edit?usp=sharing"",""ชุมพร!J367"")"),191)</f>
        <v>191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IFERROR(__xludf.DUMMYFUNCTION("IMPORTRANGE(""https://docs.google.com/spreadsheets/d/1IYY_tgx_IHuhSq3AJ5eI5OnqOPBNLWSHKh2a30DoXe8/edit?usp=sharing"",""ชุมพร!J368"")"),108088)</f>
        <v>108088</v>
      </c>
      <c r="K473" s="208">
        <f t="shared" ca="1" si="117"/>
        <v>100.00092518064152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IFERROR(__xludf.DUMMYFUNCTION("IMPORTRANGE(""https://docs.google.com/spreadsheets/d/1IYY_tgx_IHuhSq3AJ5eI5OnqOPBNLWSHKh2a30DoXe8/edit?usp=sharing"",""ชุมพร!J369"")"),10641)</f>
        <v>10641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IFERROR(__xludf.DUMMYFUNCTION("IMPORTRANGE(""https://docs.google.com/spreadsheets/d/1IYY_tgx_IHuhSq3AJ5eI5OnqOPBNLWSHKh2a30DoXe8/edit?usp=sharing"",""ชุมพร!I370"")"),0)</f>
        <v>0</v>
      </c>
      <c r="J475" s="195">
        <f ca="1">IFERROR(__xludf.DUMMYFUNCTION("IMPORTRANGE(""https://docs.google.com/spreadsheets/d/1IYY_tgx_IHuhSq3AJ5eI5OnqOPBNLWSHKh2a30DoXe8/edit?usp=sharing"",""ชุมพร!J370"")"),93784)</f>
        <v>93784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IFERROR(__xludf.DUMMYFUNCTION("IMPORTRANGE(""https://docs.google.com/spreadsheets/d/1IYY_tgx_IHuhSq3AJ5eI5OnqOPBNLWSHKh2a30DoXe8/edit?usp=sharing"",""ชุมพร!I371"")"),0)</f>
        <v>0</v>
      </c>
      <c r="J476" s="195">
        <f ca="1">IFERROR(__xludf.DUMMYFUNCTION("IMPORTRANGE(""https://docs.google.com/spreadsheets/d/1IYY_tgx_IHuhSq3AJ5eI5OnqOPBNLWSHKh2a30DoXe8/edit?usp=sharing"",""ชุมพร!J371"")"),9222)</f>
        <v>9222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IFERROR(__xludf.DUMMYFUNCTION("IMPORTRANGE(""https://docs.google.com/spreadsheets/d/1IYY_tgx_IHuhSq3AJ5eI5OnqOPBNLWSHKh2a30DoXe8/edit?usp=sharing"",""ชุมพร!I372"")"),0)</f>
        <v>0</v>
      </c>
      <c r="J477" s="195">
        <f ca="1">IFERROR(__xludf.DUMMYFUNCTION("IMPORTRANGE(""https://docs.google.com/spreadsheets/d/1IYY_tgx_IHuhSq3AJ5eI5OnqOPBNLWSHKh2a30DoXe8/edit?usp=sharing"",""ชุมพร!J372"")"),12148)</f>
        <v>12148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IFERROR(__xludf.DUMMYFUNCTION("IMPORTRANGE(""https://docs.google.com/spreadsheets/d/1IYY_tgx_IHuhSq3AJ5eI5OnqOPBNLWSHKh2a30DoXe8/edit?usp=sharing"",""ชุมพร!I373"")"),0)</f>
        <v>0</v>
      </c>
      <c r="J478" s="195">
        <f ca="1">IFERROR(__xludf.DUMMYFUNCTION("IMPORTRANGE(""https://docs.google.com/spreadsheets/d/1IYY_tgx_IHuhSq3AJ5eI5OnqOPBNLWSHKh2a30DoXe8/edit?usp=sharing"",""ชุมพร!J373"")"),1203)</f>
        <v>1203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IFERROR(__xludf.DUMMYFUNCTION("IMPORTRANGE(""https://docs.google.com/spreadsheets/d/1IYY_tgx_IHuhSq3AJ5eI5OnqOPBNLWSHKh2a30DoXe8/edit?usp=sharing"",""ชุมพร!I374"")"),0)</f>
        <v>0</v>
      </c>
      <c r="J479" s="195">
        <f ca="1">IFERROR(__xludf.DUMMYFUNCTION("IMPORTRANGE(""https://docs.google.com/spreadsheets/d/1IYY_tgx_IHuhSq3AJ5eI5OnqOPBNLWSHKh2a30DoXe8/edit?usp=sharing"",""ชุมพร!J374"")"),2156)</f>
        <v>2156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IFERROR(__xludf.DUMMYFUNCTION("IMPORTRANGE(""https://docs.google.com/spreadsheets/d/1IYY_tgx_IHuhSq3AJ5eI5OnqOPBNLWSHKh2a30DoXe8/edit?usp=sharing"",""ชุมพร!I375"")"),0)</f>
        <v>0</v>
      </c>
      <c r="J480" s="195">
        <f ca="1">IFERROR(__xludf.DUMMYFUNCTION("IMPORTRANGE(""https://docs.google.com/spreadsheets/d/1IYY_tgx_IHuhSq3AJ5eI5OnqOPBNLWSHKh2a30DoXe8/edit?usp=sharing"",""ชุมพร!J375"")"),216)</f>
        <v>216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IFERROR(__xludf.DUMMYFUNCTION("IMPORTRANGE(""https://docs.google.com/spreadsheets/d/1IYY_tgx_IHuhSq3AJ5eI5OnqOPBNLWSHKh2a30DoXe8/edit?usp=sharing"",""ชุมพร!J376"")"),108088)</f>
        <v>108088</v>
      </c>
      <c r="K481" s="208">
        <f t="shared" ca="1" si="117"/>
        <v>100.00092518064152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IFERROR(__xludf.DUMMYFUNCTION("IMPORTRANGE(""https://docs.google.com/spreadsheets/d/1IYY_tgx_IHuhSq3AJ5eI5OnqOPBNLWSHKh2a30DoXe8/edit?usp=sharing"",""ชุมพร!J377"")"),10641)</f>
        <v>10641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IFERROR(__xludf.DUMMYFUNCTION("IMPORTRANGE(""https://docs.google.com/spreadsheets/d/1IYY_tgx_IHuhSq3AJ5eI5OnqOPBNLWSHKh2a30DoXe8/edit?usp=sharing"",""ชุมพร!I378"")"),0)</f>
        <v>0</v>
      </c>
      <c r="J483" s="195">
        <f ca="1">IFERROR(__xludf.DUMMYFUNCTION("IMPORTRANGE(""https://docs.google.com/spreadsheets/d/1IYY_tgx_IHuhSq3AJ5eI5OnqOPBNLWSHKh2a30DoXe8/edit?usp=sharing"",""ชุมพร!J378"")"),93784)</f>
        <v>93784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IFERROR(__xludf.DUMMYFUNCTION("IMPORTRANGE(""https://docs.google.com/spreadsheets/d/1IYY_tgx_IHuhSq3AJ5eI5OnqOPBNLWSHKh2a30DoXe8/edit?usp=sharing"",""ชุมพร!I379"")"),0)</f>
        <v>0</v>
      </c>
      <c r="J484" s="195">
        <f ca="1">IFERROR(__xludf.DUMMYFUNCTION("IMPORTRANGE(""https://docs.google.com/spreadsheets/d/1IYY_tgx_IHuhSq3AJ5eI5OnqOPBNLWSHKh2a30DoXe8/edit?usp=sharing"",""ชุมพร!J379"")"),9222)</f>
        <v>9222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IFERROR(__xludf.DUMMYFUNCTION("IMPORTRANGE(""https://docs.google.com/spreadsheets/d/1IYY_tgx_IHuhSq3AJ5eI5OnqOPBNLWSHKh2a30DoXe8/edit?usp=sharing"",""ชุมพร!I380"")"),0)</f>
        <v>0</v>
      </c>
      <c r="J485" s="195">
        <f ca="1">IFERROR(__xludf.DUMMYFUNCTION("IMPORTRANGE(""https://docs.google.com/spreadsheets/d/1IYY_tgx_IHuhSq3AJ5eI5OnqOPBNLWSHKh2a30DoXe8/edit?usp=sharing"",""ชุมพร!J380"")"),12148)</f>
        <v>12148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IFERROR(__xludf.DUMMYFUNCTION("IMPORTRANGE(""https://docs.google.com/spreadsheets/d/1IYY_tgx_IHuhSq3AJ5eI5OnqOPBNLWSHKh2a30DoXe8/edit?usp=sharing"",""ชุมพร!I381"")"),0)</f>
        <v>0</v>
      </c>
      <c r="J486" s="195">
        <f ca="1">IFERROR(__xludf.DUMMYFUNCTION("IMPORTRANGE(""https://docs.google.com/spreadsheets/d/1IYY_tgx_IHuhSq3AJ5eI5OnqOPBNLWSHKh2a30DoXe8/edit?usp=sharing"",""ชุมพร!J381"")"),1203)</f>
        <v>1203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IFERROR(__xludf.DUMMYFUNCTION("IMPORTRANGE(""https://docs.google.com/spreadsheets/d/1IYY_tgx_IHuhSq3AJ5eI5OnqOPBNLWSHKh2a30DoXe8/edit?usp=sharing"",""ชุมพร!J382"")"),2156)</f>
        <v>2156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IFERROR(__xludf.DUMMYFUNCTION("IMPORTRANGE(""https://docs.google.com/spreadsheets/d/1IYY_tgx_IHuhSq3AJ5eI5OnqOPBNLWSHKh2a30DoXe8/edit?usp=sharing"",""ชุมพร!J383"")"),216)</f>
        <v>216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IFERROR(__xludf.DUMMYFUNCTION("IMPORTRANGE(""https://docs.google.com/spreadsheets/d/1IYY_tgx_IHuhSq3AJ5eI5OnqOPBNLWSHKh2a30DoXe8/edit?usp=sharing"",""ชุมพร!I384"")"),0)</f>
        <v>0</v>
      </c>
      <c r="J489" s="195">
        <f ca="1">IFERROR(__xludf.DUMMYFUNCTION("IMPORTRANGE(""https://docs.google.com/spreadsheets/d/1IYY_tgx_IHuhSq3AJ5eI5OnqOPBNLWSHKh2a30DoXe8/edit?usp=sharing"",""ชุมพร!J384"")"),2048)</f>
        <v>2048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IFERROR(__xludf.DUMMYFUNCTION("IMPORTRANGE(""https://docs.google.com/spreadsheets/d/1IYY_tgx_IHuhSq3AJ5eI5OnqOPBNLWSHKh2a30DoXe8/edit?usp=sharing"",""ชุมพร!I385"")"),0)</f>
        <v>0</v>
      </c>
      <c r="J490" s="195">
        <f ca="1">IFERROR(__xludf.DUMMYFUNCTION("IMPORTRANGE(""https://docs.google.com/spreadsheets/d/1IYY_tgx_IHuhSq3AJ5eI5OnqOPBNLWSHKh2a30DoXe8/edit?usp=sharing"",""ชุมพร!J385"")"),204)</f>
        <v>204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IFERROR(__xludf.DUMMYFUNCTION("IMPORTRANGE(""https://docs.google.com/spreadsheets/d/1IYY_tgx_IHuhSq3AJ5eI5OnqOPBNLWSHKh2a30DoXe8/edit?usp=sharing"",""ชุมพร!I386"")"),0)</f>
        <v>0</v>
      </c>
      <c r="J491" s="195">
        <f ca="1">IFERROR(__xludf.DUMMYFUNCTION("IMPORTRANGE(""https://docs.google.com/spreadsheets/d/1IYY_tgx_IHuhSq3AJ5eI5OnqOPBNLWSHKh2a30DoXe8/edit?usp=sharing"",""ชุมพร!J386"")"),108)</f>
        <v>108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IFERROR(__xludf.DUMMYFUNCTION("IMPORTRANGE(""https://docs.google.com/spreadsheets/d/1IYY_tgx_IHuhSq3AJ5eI5OnqOPBNLWSHKh2a30DoXe8/edit?usp=sharing"",""ชุมพร!I387"")"),0)</f>
        <v>0</v>
      </c>
      <c r="J492" s="195">
        <f ca="1">IFERROR(__xludf.DUMMYFUNCTION("IMPORTRANGE(""https://docs.google.com/spreadsheets/d/1IYY_tgx_IHuhSq3AJ5eI5OnqOPBNLWSHKh2a30DoXe8/edit?usp=sharing"",""ชุมพร!J387"")"),12)</f>
        <v>12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IFERROR(__xludf.DUMMYFUNCTION("IMPORTRANGE(""https://docs.google.com/spreadsheets/d/1IYY_tgx_IHuhSq3AJ5eI5OnqOPBNLWSHKh2a30DoXe8/edit?usp=sharing"",""ชุมพร!I388"")"),0)</f>
        <v>0</v>
      </c>
      <c r="J493" s="195">
        <f ca="1">IFERROR(__xludf.DUMMYFUNCTION("IMPORTRANGE(""https://docs.google.com/spreadsheets/d/1IYY_tgx_IHuhSq3AJ5eI5OnqOPBNLWSHKh2a30DoXe8/edit?usp=sharing"",""ชุมพร!J388"")"),0)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IFERROR(__xludf.DUMMYFUNCTION("IMPORTRANGE(""https://docs.google.com/spreadsheets/d/1IYY_tgx_IHuhSq3AJ5eI5OnqOPBNLWSHKh2a30DoXe8/edit?usp=sharing"",""ชุมพร!J392"")"),659)</f>
        <v>659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IFERROR(__xludf.DUMMYFUNCTION("IMPORTRANGE(""https://docs.google.com/spreadsheets/d/1IYY_tgx_IHuhSq3AJ5eI5OnqOPBNLWSHKh2a30DoXe8/edit?usp=sharing"",""ชุมพร!J393"")"),659)</f>
        <v>659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IFERROR(__xludf.DUMMYFUNCTION("IMPORTRANGE(""https://docs.google.com/spreadsheets/d/1IYY_tgx_IHuhSq3AJ5eI5OnqOPBNLWSHKh2a30DoXe8/edit?usp=sharing"",""ชุมพร!I395"")"),0)</f>
        <v>0</v>
      </c>
      <c r="J500" s="166">
        <f ca="1">IFERROR(__xludf.DUMMYFUNCTION("IMPORTRANGE(""https://docs.google.com/spreadsheets/d/1IYY_tgx_IHuhSq3AJ5eI5OnqOPBNLWSHKh2a30DoXe8/edit?usp=sharing"",""ชุมพร!J395"")"),647)</f>
        <v>647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IFERROR(__xludf.DUMMYFUNCTION("IMPORTRANGE(""https://docs.google.com/spreadsheets/d/1IYY_tgx_IHuhSq3AJ5eI5OnqOPBNLWSHKh2a30DoXe8/edit?usp=sharing"",""ชุมพร!I396"")"),0)</f>
        <v>0</v>
      </c>
      <c r="J501" s="166">
        <f ca="1">IFERROR(__xludf.DUMMYFUNCTION("IMPORTRANGE(""https://docs.google.com/spreadsheets/d/1IYY_tgx_IHuhSq3AJ5eI5OnqOPBNLWSHKh2a30DoXe8/edit?usp=sharing"",""ชุมพร!J396"")"),89)</f>
        <v>89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IFERROR(__xludf.DUMMYFUNCTION("IMPORTRANGE(""https://docs.google.com/spreadsheets/d/1IYY_tgx_IHuhSq3AJ5eI5OnqOPBNLWSHKh2a30DoXe8/edit?usp=sharing"",""ชุมพร!I397"")"),0)</f>
        <v>0</v>
      </c>
      <c r="J502" s="195">
        <f ca="1">IFERROR(__xludf.DUMMYFUNCTION("IMPORTRANGE(""https://docs.google.com/spreadsheets/d/1IYY_tgx_IHuhSq3AJ5eI5OnqOPBNLWSHKh2a30DoXe8/edit?usp=sharing"",""ชุมพร!J397"")"),622)</f>
        <v>622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IFERROR(__xludf.DUMMYFUNCTION("IMPORTRANGE(""https://docs.google.com/spreadsheets/d/1IYY_tgx_IHuhSq3AJ5eI5OnqOPBNLWSHKh2a30DoXe8/edit?usp=sharing"",""ชุมพร!I398"")"),0)</f>
        <v>0</v>
      </c>
      <c r="J503" s="204">
        <f ca="1">IFERROR(__xludf.DUMMYFUNCTION("IMPORTRANGE(""https://docs.google.com/spreadsheets/d/1IYY_tgx_IHuhSq3AJ5eI5OnqOPBNLWSHKh2a30DoXe8/edit?usp=sharing"",""ชุมพร!J398"")"),85)</f>
        <v>85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IFERROR(__xludf.DUMMYFUNCTION("IMPORTRANGE(""https://docs.google.com/spreadsheets/d/1IYY_tgx_IHuhSq3AJ5eI5OnqOPBNLWSHKh2a30DoXe8/edit?usp=sharing"",""ชุมพร!I399"")"),0)</f>
        <v>0</v>
      </c>
      <c r="J504" s="195">
        <f ca="1">IFERROR(__xludf.DUMMYFUNCTION("IMPORTRANGE(""https://docs.google.com/spreadsheets/d/1IYY_tgx_IHuhSq3AJ5eI5OnqOPBNLWSHKh2a30DoXe8/edit?usp=sharing"",""ชุมพร!J399"")"),25)</f>
        <v>25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IFERROR(__xludf.DUMMYFUNCTION("IMPORTRANGE(""https://docs.google.com/spreadsheets/d/1IYY_tgx_IHuhSq3AJ5eI5OnqOPBNLWSHKh2a30DoXe8/edit?usp=sharing"",""ชุมพร!I400"")"),0)</f>
        <v>0</v>
      </c>
      <c r="J505" s="204">
        <f ca="1">IFERROR(__xludf.DUMMYFUNCTION("IMPORTRANGE(""https://docs.google.com/spreadsheets/d/1IYY_tgx_IHuhSq3AJ5eI5OnqOPBNLWSHKh2a30DoXe8/edit?usp=sharing"",""ชุมพร!J400"")"),4)</f>
        <v>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IFERROR(__xludf.DUMMYFUNCTION("IMPORTRANGE(""https://docs.google.com/spreadsheets/d/1IYY_tgx_IHuhSq3AJ5eI5OnqOPBNLWSHKh2a30DoXe8/edit?usp=sharing"",""ชุมพร!I401"")"),0)</f>
        <v>0</v>
      </c>
      <c r="J506" s="195">
        <f ca="1">IFERROR(__xludf.DUMMYFUNCTION("IMPORTRANGE(""https://docs.google.com/spreadsheets/d/1IYY_tgx_IHuhSq3AJ5eI5OnqOPBNLWSHKh2a30DoXe8/edit?usp=sharing"",""ชุมพร!J401"")"),0)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IFERROR(__xludf.DUMMYFUNCTION("IMPORTRANGE(""https://docs.google.com/spreadsheets/d/1IYY_tgx_IHuhSq3AJ5eI5OnqOPBNLWSHKh2a30DoXe8/edit?usp=sharing"",""ชุมพร!I402"")"),0)</f>
        <v>0</v>
      </c>
      <c r="J507" s="204">
        <f ca="1">IFERROR(__xludf.DUMMYFUNCTION("IMPORTRANGE(""https://docs.google.com/spreadsheets/d/1IYY_tgx_IHuhSq3AJ5eI5OnqOPBNLWSHKh2a30DoXe8/edit?usp=sharing"",""ชุมพร!J402"")"),0)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IFERROR(__xludf.DUMMYFUNCTION("IMPORTRANGE(""https://docs.google.com/spreadsheets/d/1IYY_tgx_IHuhSq3AJ5eI5OnqOPBNLWSHKh2a30DoXe8/edit?usp=sharing"",""ชุมพร!I403"")"),0)</f>
        <v>0</v>
      </c>
      <c r="J508" s="166">
        <f ca="1">IFERROR(__xludf.DUMMYFUNCTION("IMPORTRANGE(""https://docs.google.com/spreadsheets/d/1IYY_tgx_IHuhSq3AJ5eI5OnqOPBNLWSHKh2a30DoXe8/edit?usp=sharing"",""ชุมพร!J403"")"),12)</f>
        <v>12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IFERROR(__xludf.DUMMYFUNCTION("IMPORTRANGE(""https://docs.google.com/spreadsheets/d/1IYY_tgx_IHuhSq3AJ5eI5OnqOPBNLWSHKh2a30DoXe8/edit?usp=sharing"",""ชุมพร!I404"")"),0)</f>
        <v>0</v>
      </c>
      <c r="J509" s="166">
        <f ca="1">IFERROR(__xludf.DUMMYFUNCTION("IMPORTRANGE(""https://docs.google.com/spreadsheets/d/1IYY_tgx_IHuhSq3AJ5eI5OnqOPBNLWSHKh2a30DoXe8/edit?usp=sharing"",""ชุมพร!J404"")"),5)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IFERROR(__xludf.DUMMYFUNCTION("IMPORTRANGE(""https://docs.google.com/spreadsheets/d/1IYY_tgx_IHuhSq3AJ5eI5OnqOPBNLWSHKh2a30DoXe8/edit?usp=sharing"",""ชุมพร!I405"")"),0)</f>
        <v>0</v>
      </c>
      <c r="J510" s="204">
        <f ca="1">IFERROR(__xludf.DUMMYFUNCTION("IMPORTRANGE(""https://docs.google.com/spreadsheets/d/1IYY_tgx_IHuhSq3AJ5eI5OnqOPBNLWSHKh2a30DoXe8/edit?usp=sharing"",""ชุมพร!J405"")"),12)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IFERROR(__xludf.DUMMYFUNCTION("IMPORTRANGE(""https://docs.google.com/spreadsheets/d/1IYY_tgx_IHuhSq3AJ5eI5OnqOPBNLWSHKh2a30DoXe8/edit?usp=sharing"",""ชุมพร!I406"")"),0)</f>
        <v>0</v>
      </c>
      <c r="J511" s="204">
        <f ca="1">IFERROR(__xludf.DUMMYFUNCTION("IMPORTRANGE(""https://docs.google.com/spreadsheets/d/1IYY_tgx_IHuhSq3AJ5eI5OnqOPBNLWSHKh2a30DoXe8/edit?usp=sharing"",""ชุมพร!J406"")"),5)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IFERROR(__xludf.DUMMYFUNCTION("IMPORTRANGE(""https://docs.google.com/spreadsheets/d/1IYY_tgx_IHuhSq3AJ5eI5OnqOPBNLWSHKh2a30DoXe8/edit?usp=sharing"",""ชุมพร!I407"")"),0)</f>
        <v>0</v>
      </c>
      <c r="J512" s="204">
        <f ca="1">IFERROR(__xludf.DUMMYFUNCTION("IMPORTRANGE(""https://docs.google.com/spreadsheets/d/1IYY_tgx_IHuhSq3AJ5eI5OnqOPBNLWSHKh2a30DoXe8/edit?usp=sharing"",""ชุมพร!J407"")"),0)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IFERROR(__xludf.DUMMYFUNCTION("IMPORTRANGE(""https://docs.google.com/spreadsheets/d/1IYY_tgx_IHuhSq3AJ5eI5OnqOPBNLWSHKh2a30DoXe8/edit?usp=sharing"",""ชุมพร!I408"")"),0)</f>
        <v>0</v>
      </c>
      <c r="J513" s="204">
        <f ca="1">IFERROR(__xludf.DUMMYFUNCTION("IMPORTRANGE(""https://docs.google.com/spreadsheets/d/1IYY_tgx_IHuhSq3AJ5eI5OnqOPBNLWSHKh2a30DoXe8/edit?usp=sharing"",""ชุมพร!J408"")"),0)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IFERROR(__xludf.DUMMYFUNCTION("IMPORTRANGE(""https://docs.google.com/spreadsheets/d/1IYY_tgx_IHuhSq3AJ5eI5OnqOPBNLWSHKh2a30DoXe8/edit?usp=sharing"",""ชุมพร!I409"")"),0)</f>
        <v>0</v>
      </c>
      <c r="J514" s="204">
        <f ca="1">IFERROR(__xludf.DUMMYFUNCTION("IMPORTRANGE(""https://docs.google.com/spreadsheets/d/1IYY_tgx_IHuhSq3AJ5eI5OnqOPBNLWSHKh2a30DoXe8/edit?usp=sharing"",""ชุมพร!J409"")"),0)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IFERROR(__xludf.DUMMYFUNCTION("IMPORTRANGE(""https://docs.google.com/spreadsheets/d/1IYY_tgx_IHuhSq3AJ5eI5OnqOPBNLWSHKh2a30DoXe8/edit?usp=sharing"",""ชุมพร!I410"")"),0)</f>
        <v>0</v>
      </c>
      <c r="J515" s="204">
        <f ca="1">IFERROR(__xludf.DUMMYFUNCTION("IMPORTRANGE(""https://docs.google.com/spreadsheets/d/1IYY_tgx_IHuhSq3AJ5eI5OnqOPBNLWSHKh2a30DoXe8/edit?usp=sharing"",""ชุมพร!J410"")"),0)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IFERROR(__xludf.DUMMYFUNCTION("IMPORTRANGE(""https://docs.google.com/spreadsheets/d/1IYY_tgx_IHuhSq3AJ5eI5OnqOPBNLWSHKh2a30DoXe8/edit?usp=sharing"",""ชุมพร!I411"")"),0)</f>
        <v>0</v>
      </c>
      <c r="J516" s="273">
        <f ca="1">IFERROR(__xludf.DUMMYFUNCTION("IMPORTRANGE(""https://docs.google.com/spreadsheets/d/1IYY_tgx_IHuhSq3AJ5eI5OnqOPBNLWSHKh2a30DoXe8/edit?usp=sharing"",""ชุมพร!J411"")"),0)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IFERROR(__xludf.DUMMYFUNCTION("IMPORTRANGE(""https://docs.google.com/spreadsheets/d/1IYY_tgx_IHuhSq3AJ5eI5OnqOPBNLWSHKh2a30DoXe8/edit?usp=sharing"",""ชุมพร!I414"")"),0)</f>
        <v>0</v>
      </c>
      <c r="J519" s="194">
        <f ca="1">IFERROR(__xludf.DUMMYFUNCTION("IMPORTRANGE(""https://docs.google.com/spreadsheets/d/1IYY_tgx_IHuhSq3AJ5eI5OnqOPBNLWSHKh2a30DoXe8/edit?usp=sharing"",""ชุมพร!J414"")"),0)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IFERROR(__xludf.DUMMYFUNCTION("IMPORTRANGE(""https://docs.google.com/spreadsheets/d/1IYY_tgx_IHuhSq3AJ5eI5OnqOPBNLWSHKh2a30DoXe8/edit?usp=sharing"",""ชุมพร!I415"")"),0)</f>
        <v>0</v>
      </c>
      <c r="J520" s="194">
        <f ca="1">IFERROR(__xludf.DUMMYFUNCTION("IMPORTRANGE(""https://docs.google.com/spreadsheets/d/1IYY_tgx_IHuhSq3AJ5eI5OnqOPBNLWSHKh2a30DoXe8/edit?usp=sharing"",""ชุมพร!J415"")"),0)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IFERROR(__xludf.DUMMYFUNCTION("IMPORTRANGE(""https://docs.google.com/spreadsheets/d/1IYY_tgx_IHuhSq3AJ5eI5OnqOPBNLWSHKh2a30DoXe8/edit?usp=sharing"",""ชุมพร!I416"")"),0)</f>
        <v>0</v>
      </c>
      <c r="J521" s="194">
        <f ca="1">IFERROR(__xludf.DUMMYFUNCTION("IMPORTRANGE(""https://docs.google.com/spreadsheets/d/1IYY_tgx_IHuhSq3AJ5eI5OnqOPBNLWSHKh2a30DoXe8/edit?usp=sharing"",""ชุมพร!J416"")"),0)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IFERROR(__xludf.DUMMYFUNCTION("IMPORTRANGE(""https://docs.google.com/spreadsheets/d/1IYY_tgx_IHuhSq3AJ5eI5OnqOPBNLWSHKh2a30DoXe8/edit?usp=sharing"",""ชุมพร!I417"")"),0)</f>
        <v>0</v>
      </c>
      <c r="J522" s="194">
        <f ca="1">IFERROR(__xludf.DUMMYFUNCTION("IMPORTRANGE(""https://docs.google.com/spreadsheets/d/1IYY_tgx_IHuhSq3AJ5eI5OnqOPBNLWSHKh2a30DoXe8/edit?usp=sharing"",""ชุมพร!J417"")"),0)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IFERROR(__xludf.DUMMYFUNCTION("IMPORTRANGE(""https://docs.google.com/spreadsheets/d/1IYY_tgx_IHuhSq3AJ5eI5OnqOPBNLWSHKh2a30DoXe8/edit?usp=sharing"",""ชุมพร!I418"")"),0)</f>
        <v>0</v>
      </c>
      <c r="J523" s="194">
        <f ca="1">IFERROR(__xludf.DUMMYFUNCTION("IMPORTRANGE(""https://docs.google.com/spreadsheets/d/1IYY_tgx_IHuhSq3AJ5eI5OnqOPBNLWSHKh2a30DoXe8/edit?usp=sharing"",""ชุมพร!J418"")"),179)</f>
        <v>179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IFERROR(__xludf.DUMMYFUNCTION("IMPORTRANGE(""https://docs.google.com/spreadsheets/d/1IYY_tgx_IHuhSq3AJ5eI5OnqOPBNLWSHKh2a30DoXe8/edit?usp=sharing"",""ชุมพร!I419"")"),0)</f>
        <v>0</v>
      </c>
      <c r="J524" s="194">
        <f ca="1">IFERROR(__xludf.DUMMYFUNCTION("IMPORTRANGE(""https://docs.google.com/spreadsheets/d/1IYY_tgx_IHuhSq3AJ5eI5OnqOPBNLWSHKh2a30DoXe8/edit?usp=sharing"",""ชุมพร!J419"")"),19)</f>
        <v>19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IFERROR(__xludf.DUMMYFUNCTION("IMPORTRANGE(""https://docs.google.com/spreadsheets/d/1IYY_tgx_IHuhSq3AJ5eI5OnqOPBNLWSHKh2a30DoXe8/edit?usp=sharing"",""ชุมพร!I420"")"),179)</f>
        <v>179</v>
      </c>
      <c r="J525" s="290">
        <f ca="1">IFERROR(__xludf.DUMMYFUNCTION("IMPORTRANGE(""https://docs.google.com/spreadsheets/d/1IYY_tgx_IHuhSq3AJ5eI5OnqOPBNLWSHKh2a30DoXe8/edit?usp=sharing"",""ชุมพร!J420"")"),0)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IFERROR(__xludf.DUMMYFUNCTION("IMPORTRANGE(""https://docs.google.com/spreadsheets/d/1IYY_tgx_IHuhSq3AJ5eI5OnqOPBNLWSHKh2a30DoXe8/edit?usp=sharing"",""ชุมพร!I421"")"),19)</f>
        <v>19</v>
      </c>
      <c r="J526" s="290">
        <f ca="1">IFERROR(__xludf.DUMMYFUNCTION("IMPORTRANGE(""https://docs.google.com/spreadsheets/d/1IYY_tgx_IHuhSq3AJ5eI5OnqOPBNLWSHKh2a30DoXe8/edit?usp=sharing"",""ชุมพร!J421"")"),0)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IFERROR(__xludf.DUMMYFUNCTION("IMPORTRANGE(""https://docs.google.com/spreadsheets/d/1IYY_tgx_IHuhSq3AJ5eI5OnqOPBNLWSHKh2a30DoXe8/edit?usp=sharing"",""ชุมพร!I422"")"),0)</f>
        <v>0</v>
      </c>
      <c r="J527" s="204">
        <f ca="1">IFERROR(__xludf.DUMMYFUNCTION("IMPORTRANGE(""https://docs.google.com/spreadsheets/d/1IYY_tgx_IHuhSq3AJ5eI5OnqOPBNLWSHKh2a30DoXe8/edit?usp=sharing"",""ชุมพร!J422"")"),0)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IFERROR(__xludf.DUMMYFUNCTION("IMPORTRANGE(""https://docs.google.com/spreadsheets/d/1IYY_tgx_IHuhSq3AJ5eI5OnqOPBNLWSHKh2a30DoXe8/edit?usp=sharing"",""ชุมพร!I423"")"),0)</f>
        <v>0</v>
      </c>
      <c r="J528" s="204">
        <f ca="1">IFERROR(__xludf.DUMMYFUNCTION("IMPORTRANGE(""https://docs.google.com/spreadsheets/d/1IYY_tgx_IHuhSq3AJ5eI5OnqOPBNLWSHKh2a30DoXe8/edit?usp=sharing"",""ชุมพร!J423"")"),0)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IFERROR(__xludf.DUMMYFUNCTION("IMPORTRANGE(""https://docs.google.com/spreadsheets/d/1IYY_tgx_IHuhSq3AJ5eI5OnqOPBNLWSHKh2a30DoXe8/edit?usp=sharing"",""ชุมพร!I424"")"),0)</f>
        <v>0</v>
      </c>
      <c r="J529" s="204">
        <f ca="1">IFERROR(__xludf.DUMMYFUNCTION("IMPORTRANGE(""https://docs.google.com/spreadsheets/d/1IYY_tgx_IHuhSq3AJ5eI5OnqOPBNLWSHKh2a30DoXe8/edit?usp=sharing"",""ชุมพร!J424"")"),0)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IFERROR(__xludf.DUMMYFUNCTION("IMPORTRANGE(""https://docs.google.com/spreadsheets/d/1IYY_tgx_IHuhSq3AJ5eI5OnqOPBNLWSHKh2a30DoXe8/edit?usp=sharing"",""ชุมพร!I425"")"),0)</f>
        <v>0</v>
      </c>
      <c r="J530" s="204">
        <f ca="1">IFERROR(__xludf.DUMMYFUNCTION("IMPORTRANGE(""https://docs.google.com/spreadsheets/d/1IYY_tgx_IHuhSq3AJ5eI5OnqOPBNLWSHKh2a30DoXe8/edit?usp=sharing"",""ชุมพร!J425"")"),0)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IFERROR(__xludf.DUMMYFUNCTION("IMPORTRANGE(""https://docs.google.com/spreadsheets/d/1IYY_tgx_IHuhSq3AJ5eI5OnqOPBNLWSHKh2a30DoXe8/edit?usp=sharing"",""ชุมพร!I426"")"),0)</f>
        <v>0</v>
      </c>
      <c r="J531" s="204">
        <f ca="1">IFERROR(__xludf.DUMMYFUNCTION("IMPORTRANGE(""https://docs.google.com/spreadsheets/d/1IYY_tgx_IHuhSq3AJ5eI5OnqOPBNLWSHKh2a30DoXe8/edit?usp=sharing"",""ชุมพร!J426"")"),0)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IFERROR(__xludf.DUMMYFUNCTION("IMPORTRANGE(""https://docs.google.com/spreadsheets/d/1IYY_tgx_IHuhSq3AJ5eI5OnqOPBNLWSHKh2a30DoXe8/edit?usp=sharing"",""ชุมพร!L428"")"),37740)</f>
        <v>37740</v>
      </c>
      <c r="M533" s="418"/>
      <c r="N533" s="418">
        <f ca="1">IFERROR(__xludf.DUMMYFUNCTION("IMPORTRANGE(""https://docs.google.com/spreadsheets/d/1IYY_tgx_IHuhSq3AJ5eI5OnqOPBNLWSHKh2a30DoXe8/edit?usp=sharing"",""ชุมพร!M428"")"),22200)</f>
        <v>22200</v>
      </c>
      <c r="O533" s="418">
        <f t="shared" ref="O533:O537" ca="1" si="118">+IF(L533&gt;0,N533*100/L533,0)</f>
        <v>58.823529411764703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IFERROR(__xludf.DUMMYFUNCTION("IMPORTRANGE(""https://docs.google.com/spreadsheets/d/1IYY_tgx_IHuhSq3AJ5eI5OnqOPBNLWSHKh2a30DoXe8/edit?usp=sharing"",""ชุมพร!L429"")"),0)</f>
        <v>0</v>
      </c>
      <c r="M534" s="168"/>
      <c r="N534" s="175">
        <f ca="1">IFERROR(__xludf.DUMMYFUNCTION("IMPORTRANGE(""https://docs.google.com/spreadsheets/d/1IYY_tgx_IHuhSq3AJ5eI5OnqOPBNLWSHKh2a30DoXe8/edit?usp=sharing"",""ชุมพร!M429"")"),0)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IFERROR(__xludf.DUMMYFUNCTION("IMPORTRANGE(""https://docs.google.com/spreadsheets/d/1IYY_tgx_IHuhSq3AJ5eI5OnqOPBNLWSHKh2a30DoXe8/edit?usp=sharing"",""ชุมพร!L430"")"),37740)</f>
        <v>37740</v>
      </c>
      <c r="M535" s="169"/>
      <c r="N535" s="175">
        <f ca="1">IFERROR(__xludf.DUMMYFUNCTION("IMPORTRANGE(""https://docs.google.com/spreadsheets/d/1IYY_tgx_IHuhSq3AJ5eI5OnqOPBNLWSHKh2a30DoXe8/edit?usp=sharing"",""ชุมพร!M430"")"),22200)</f>
        <v>22200</v>
      </c>
      <c r="O535" s="175">
        <f t="shared" ca="1" si="118"/>
        <v>58.823529411764703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IFERROR(__xludf.DUMMYFUNCTION("IMPORTRANGE(""https://docs.google.com/spreadsheets/d/1IYY_tgx_IHuhSq3AJ5eI5OnqOPBNLWSHKh2a30DoXe8/edit?usp=sharing"",""ชุมพร!L431"")"),0)</f>
        <v>0</v>
      </c>
      <c r="M536" s="175"/>
      <c r="N536" s="175">
        <f ca="1">IFERROR(__xludf.DUMMYFUNCTION("IMPORTRANGE(""https://docs.google.com/spreadsheets/d/1IYY_tgx_IHuhSq3AJ5eI5OnqOPBNLWSHKh2a30DoXe8/edit?usp=sharing"",""ชุมพร!M431"")"),0)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IFERROR(__xludf.DUMMYFUNCTION("IMPORTRANGE(""https://docs.google.com/spreadsheets/d/1IYY_tgx_IHuhSq3AJ5eI5OnqOPBNLWSHKh2a30DoXe8/edit?usp=sharing"",""ชุมพร!L432"")"),37740)</f>
        <v>37740</v>
      </c>
      <c r="M537" s="175"/>
      <c r="N537" s="175">
        <f ca="1">IFERROR(__xludf.DUMMYFUNCTION("IMPORTRANGE(""https://docs.google.com/spreadsheets/d/1IYY_tgx_IHuhSq3AJ5eI5OnqOPBNLWSHKh2a30DoXe8/edit?usp=sharing"",""ชุมพร!M432"")"),22200)</f>
        <v>22200</v>
      </c>
      <c r="O537" s="175">
        <f t="shared" ca="1" si="118"/>
        <v>58.823529411764703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IFERROR(__xludf.DUMMYFUNCTION("IMPORTRANGE(""https://docs.google.com/spreadsheets/d/1IYY_tgx_IHuhSq3AJ5eI5OnqOPBNLWSHKh2a30DoXe8/edit?usp=sharing"",""ชุมพร!M436"")"),0)</f>
        <v>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IFERROR(__xludf.DUMMYFUNCTION("IMPORTRANGE(""https://docs.google.com/spreadsheets/d/1IYY_tgx_IHuhSq3AJ5eI5OnqOPBNLWSHKh2a30DoXe8/edit?usp=sharing"",""ชุมพร!J438"")"),0)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IFERROR(__xludf.DUMMYFUNCTION("IMPORTRANGE(""https://docs.google.com/spreadsheets/d/1IYY_tgx_IHuhSq3AJ5eI5OnqOPBNLWSHKh2a30DoXe8/edit?usp=sharing"",""ชุมพร!J439"")"),1)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IFERROR(__xludf.DUMMYFUNCTION("IMPORTRANGE(""https://docs.google.com/spreadsheets/d/1IYY_tgx_IHuhSq3AJ5eI5OnqOPBNLWSHKh2a30DoXe8/edit?usp=sharing"",""ชุมพร!J440"")"),1)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IFERROR(__xludf.DUMMYFUNCTION("IMPORTRANGE(""https://docs.google.com/spreadsheets/d/1IYY_tgx_IHuhSq3AJ5eI5OnqOPBNLWSHKh2a30DoXe8/edit?usp=sharing"",""ชุมพร!J441"")"),1)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IFERROR(__xludf.DUMMYFUNCTION("IMPORTRANGE(""https://docs.google.com/spreadsheets/d/1IYY_tgx_IHuhSq3AJ5eI5OnqOPBNLWSHKh2a30DoXe8/edit?usp=sharing"",""ชุมพร!I442"")"),26)</f>
        <v>26</v>
      </c>
      <c r="J547" s="195">
        <f ca="1">IFERROR(__xludf.DUMMYFUNCTION("IMPORTRANGE(""https://docs.google.com/spreadsheets/d/1IYY_tgx_IHuhSq3AJ5eI5OnqOPBNLWSHKh2a30DoXe8/edit?usp=sharing"",""ชุมพร!J442"")"),26)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IFERROR(__xludf.DUMMYFUNCTION("IMPORTRANGE(""https://docs.google.com/spreadsheets/d/1IYY_tgx_IHuhSq3AJ5eI5OnqOPBNLWSHKh2a30DoXe8/edit?usp=sharing"",""ชุมพร!J166"")"),0)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IFERROR(__xludf.DUMMYFUNCTION("IMPORTRANGE(""https://docs.google.com/spreadsheets/d/1IYY_tgx_IHuhSq3AJ5eI5OnqOPBNLWSHKh2a30DoXe8/edit?usp=sharing"",""ชุมพร!J444"")"),0)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IFERROR(__xludf.DUMMYFUNCTION("IMPORTRANGE(""https://docs.google.com/spreadsheets/d/1IYY_tgx_IHuhSq3AJ5eI5OnqOPBNLWSHKh2a30DoXe8/edit?usp=sharing"",""ชุมพร!L447"")"),0)</f>
        <v>0</v>
      </c>
      <c r="M552" s="168"/>
      <c r="N552" s="175">
        <f ca="1">IFERROR(__xludf.DUMMYFUNCTION("IMPORTRANGE(""https://docs.google.com/spreadsheets/d/1IYY_tgx_IHuhSq3AJ5eI5OnqOPBNLWSHKh2a30DoXe8/edit?usp=sharing"",""ชุมพร!M447"")"),0)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5">
        <f ca="1">IFERROR(__xludf.DUMMYFUNCTION("IMPORTRANGE(""https://docs.google.com/spreadsheets/d/1IYY_tgx_IHuhSq3AJ5eI5OnqOPBNLWSHKh2a30DoXe8/edit?usp=sharing"",""ชุมพร!M448"")"),0)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IFERROR(__xludf.DUMMYFUNCTION("IMPORTRANGE(""https://docs.google.com/spreadsheets/d/1IYY_tgx_IHuhSq3AJ5eI5OnqOPBNLWSHKh2a30DoXe8/edit?usp=sharing"",""ชุมพร!L449"")"),0)</f>
        <v>0</v>
      </c>
      <c r="M554" s="175"/>
      <c r="N554" s="175">
        <f ca="1">IFERROR(__xludf.DUMMYFUNCTION("IMPORTRANGE(""https://docs.google.com/spreadsheets/d/1IYY_tgx_IHuhSq3AJ5eI5OnqOPBNLWSHKh2a30DoXe8/edit?usp=sharing"",""ชุมพร!M449"")"),0)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IFERROR(__xludf.DUMMYFUNCTION("IMPORTRANGE(""https://docs.google.com/spreadsheets/d/1IYY_tgx_IHuhSq3AJ5eI5OnqOPBNLWSHKh2a30DoXe8/edit?usp=sharing"",""ชุมพร!L450"")"),0)</f>
        <v>0</v>
      </c>
      <c r="M555" s="175"/>
      <c r="N555" s="175">
        <f ca="1">IFERROR(__xludf.DUMMYFUNCTION("IMPORTRANGE(""https://docs.google.com/spreadsheets/d/1IYY_tgx_IHuhSq3AJ5eI5OnqOPBNLWSHKh2a30DoXe8/edit?usp=sharing"",""ชุมพร!M450"")"),0)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IFERROR(__xludf.DUMMYFUNCTION("IMPORTRANGE(""https://docs.google.com/spreadsheets/d/1IYY_tgx_IHuhSq3AJ5eI5OnqOPBNLWSHKh2a30DoXe8/edit?usp=sharing"",""ชุมพร!M451"")"),0)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IFERROR(__xludf.DUMMYFUNCTION("IMPORTRANGE(""https://docs.google.com/spreadsheets/d/1IYY_tgx_IHuhSq3AJ5eI5OnqOPBNLWSHKh2a30DoXe8/edit?usp=sharing"",""ชุมพร!M452"")"),0)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IFERROR(__xludf.DUMMYFUNCTION("IMPORTRANGE(""https://docs.google.com/spreadsheets/d/1IYY_tgx_IHuhSq3AJ5eI5OnqOPBNLWSHKh2a30DoXe8/edit?usp=sharing"",""ชุมพร!M453"")"),0)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IFERROR(__xludf.DUMMYFUNCTION("IMPORTRANGE(""https://docs.google.com/spreadsheets/d/1IYY_tgx_IHuhSq3AJ5eI5OnqOPBNLWSHKh2a30DoXe8/edit?usp=sharing"",""ชุมพร!M454"")"),0)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IFERROR(__xludf.DUMMYFUNCTION("IMPORTRANGE(""https://docs.google.com/spreadsheets/d/1IYY_tgx_IHuhSq3AJ5eI5OnqOPBNLWSHKh2a30DoXe8/edit?usp=sharing"",""ชุมพร!I455"")"),0)</f>
        <v>0</v>
      </c>
      <c r="J560" s="166">
        <f ca="1">IFERROR(__xludf.DUMMYFUNCTION("IMPORTRANGE(""https://docs.google.com/spreadsheets/d/1IYY_tgx_IHuhSq3AJ5eI5OnqOPBNLWSHKh2a30DoXe8/edit?usp=sharing"",""ชุมพร!J455"")"),0)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IFERROR(__xludf.DUMMYFUNCTION("IMPORTRANGE(""https://docs.google.com/spreadsheets/d/1IYY_tgx_IHuhSq3AJ5eI5OnqOPBNLWSHKh2a30DoXe8/edit?usp=sharing"",""ชุมพร!I456"")"),0)</f>
        <v>0</v>
      </c>
      <c r="J561" s="210">
        <f ca="1">IFERROR(__xludf.DUMMYFUNCTION("IMPORTRANGE(""https://docs.google.com/spreadsheets/d/1IYY_tgx_IHuhSq3AJ5eI5OnqOPBNLWSHKh2a30DoXe8/edit?usp=sharing"",""ชุมพร!J456"")"),0)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IFERROR(__xludf.DUMMYFUNCTION("IMPORTRANGE(""https://docs.google.com/spreadsheets/d/1IYY_tgx_IHuhSq3AJ5eI5OnqOPBNLWSHKh2a30DoXe8/edit?usp=sharing"",""ชุมพร!J459"")"),6741)</f>
        <v>6741</v>
      </c>
      <c r="K564" s="378">
        <f ca="1">IF(I564&gt;0,J564*100/I564,0)</f>
        <v>449.4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IFERROR(__xludf.DUMMYFUNCTION("IMPORTRANGE(""https://docs.google.com/spreadsheets/d/1IYY_tgx_IHuhSq3AJ5eI5OnqOPBNLWSHKh2a30DoXe8/edit?usp=sharing"",""ชุมพร!M459"")"),102636)</f>
        <v>102636</v>
      </c>
      <c r="O564" s="379">
        <f t="shared" ref="O564:O568" ca="1" si="122">+IF(L564&gt;0,N564*100/L564,0)</f>
        <v>75.46764705882353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IFERROR(__xludf.DUMMYFUNCTION("IMPORTRANGE(""https://docs.google.com/spreadsheets/d/1IYY_tgx_IHuhSq3AJ5eI5OnqOPBNLWSHKh2a30DoXe8/edit?usp=sharing"",""ชุมพร!L460"")"),0)</f>
        <v>0</v>
      </c>
      <c r="M565" s="168"/>
      <c r="N565" s="175">
        <f ca="1">IFERROR(__xludf.DUMMYFUNCTION("IMPORTRANGE(""https://docs.google.com/spreadsheets/d/1IYY_tgx_IHuhSq3AJ5eI5OnqOPBNLWSHKh2a30DoXe8/edit?usp=sharing"",""ชุมพร!M460"")"),0)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5">
        <f ca="1">IFERROR(__xludf.DUMMYFUNCTION("IMPORTRANGE(""https://docs.google.com/spreadsheets/d/1IYY_tgx_IHuhSq3AJ5eI5OnqOPBNLWSHKh2a30DoXe8/edit?usp=sharing"",""ชุมพร!M461"")"),102636)</f>
        <v>102636</v>
      </c>
      <c r="O566" s="175">
        <f t="shared" ca="1" si="122"/>
        <v>75.46764705882353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IFERROR(__xludf.DUMMYFUNCTION("IMPORTRANGE(""https://docs.google.com/spreadsheets/d/1IYY_tgx_IHuhSq3AJ5eI5OnqOPBNLWSHKh2a30DoXe8/edit?usp=sharing"",""ชุมพร!L462"")"),0)</f>
        <v>0</v>
      </c>
      <c r="M567" s="175"/>
      <c r="N567" s="175">
        <f ca="1">IFERROR(__xludf.DUMMYFUNCTION("IMPORTRANGE(""https://docs.google.com/spreadsheets/d/1IYY_tgx_IHuhSq3AJ5eI5OnqOPBNLWSHKh2a30DoXe8/edit?usp=sharing"",""ชุมพร!M462"")"),0)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IFERROR(__xludf.DUMMYFUNCTION("IMPORTRANGE(""https://docs.google.com/spreadsheets/d/1IYY_tgx_IHuhSq3AJ5eI5OnqOPBNLWSHKh2a30DoXe8/edit?usp=sharing"",""ชุมพร!L463"")"),136000)</f>
        <v>136000</v>
      </c>
      <c r="M568" s="175"/>
      <c r="N568" s="175">
        <f ca="1">IFERROR(__xludf.DUMMYFUNCTION("IMPORTRANGE(""https://docs.google.com/spreadsheets/d/1IYY_tgx_IHuhSq3AJ5eI5OnqOPBNLWSHKh2a30DoXe8/edit?usp=sharing"",""ชุมพร!M463"")"),102636)</f>
        <v>102636</v>
      </c>
      <c r="O568" s="175">
        <f t="shared" ca="1" si="122"/>
        <v>75.46764705882353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IFERROR(__xludf.DUMMYFUNCTION("IMPORTRANGE(""https://docs.google.com/spreadsheets/d/1IYY_tgx_IHuhSq3AJ5eI5OnqOPBNLWSHKh2a30DoXe8/edit?usp=sharing"",""ชุมพร!M464"")"),0)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IFERROR(__xludf.DUMMYFUNCTION("IMPORTRANGE(""https://docs.google.com/spreadsheets/d/1IYY_tgx_IHuhSq3AJ5eI5OnqOPBNLWSHKh2a30DoXe8/edit?usp=sharing"",""ชุมพร!M465"")"),0)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IFERROR(__xludf.DUMMYFUNCTION("IMPORTRANGE(""https://docs.google.com/spreadsheets/d/1IYY_tgx_IHuhSq3AJ5eI5OnqOPBNLWSHKh2a30DoXe8/edit?usp=sharing"",""ชุมพร!M466"")"),74441)</f>
        <v>74441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IFERROR(__xludf.DUMMYFUNCTION("IMPORTRANGE(""https://docs.google.com/spreadsheets/d/1IYY_tgx_IHuhSq3AJ5eI5OnqOPBNLWSHKh2a30DoXe8/edit?usp=sharing"",""ชุมพร!M467"")"),28195)</f>
        <v>28195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IFERROR(__xludf.DUMMYFUNCTION("IMPORTRANGE(""https://docs.google.com/spreadsheets/d/1IYY_tgx_IHuhSq3AJ5eI5OnqOPBNLWSHKh2a30DoXe8/edit?usp=sharing"",""ชุมพร!J468"")"),6741)</f>
        <v>6741</v>
      </c>
      <c r="K573" s="208">
        <f ca="1">IF(I573&gt;0,J573*100/I573,0)</f>
        <v>449.4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IFERROR(__xludf.DUMMYFUNCTION("IMPORTRANGE(""https://docs.google.com/spreadsheets/d/1IYY_tgx_IHuhSq3AJ5eI5OnqOPBNLWSHKh2a30DoXe8/edit?usp=sharing"",""ชุมพร!I470"")"),0)</f>
        <v>0</v>
      </c>
      <c r="J575" s="204">
        <f ca="1">IFERROR(__xludf.DUMMYFUNCTION("IMPORTRANGE(""https://docs.google.com/spreadsheets/d/1IYY_tgx_IHuhSq3AJ5eI5OnqOPBNLWSHKh2a30DoXe8/edit?usp=sharing"",""ชุมพร!J470"")"),2)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IFERROR(__xludf.DUMMYFUNCTION("IMPORTRANGE(""https://docs.google.com/spreadsheets/d/1IYY_tgx_IHuhSq3AJ5eI5OnqOPBNLWSHKh2a30DoXe8/edit?usp=sharing"",""ชุมพร!I471"")"),0)</f>
        <v>0</v>
      </c>
      <c r="J576" s="204">
        <f ca="1">IFERROR(__xludf.DUMMYFUNCTION("IMPORTRANGE(""https://docs.google.com/spreadsheets/d/1IYY_tgx_IHuhSq3AJ5eI5OnqOPBNLWSHKh2a30DoXe8/edit?usp=sharing"",""ชุมพร!J471"")"),39)</f>
        <v>39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IFERROR(__xludf.DUMMYFUNCTION("IMPORTRANGE(""https://docs.google.com/spreadsheets/d/1IYY_tgx_IHuhSq3AJ5eI5OnqOPBNLWSHKh2a30DoXe8/edit?usp=sharing"",""ชุมพร!I472"")"),0)</f>
        <v>0</v>
      </c>
      <c r="J577" s="195">
        <f ca="1">IFERROR(__xludf.DUMMYFUNCTION("IMPORTRANGE(""https://docs.google.com/spreadsheets/d/1IYY_tgx_IHuhSq3AJ5eI5OnqOPBNLWSHKh2a30DoXe8/edit?usp=sharing"",""ชุมพร!J472"")"),6702)</f>
        <v>6702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IFERROR(__xludf.DUMMYFUNCTION("IMPORTRANGE(""https://docs.google.com/spreadsheets/d/1IYY_tgx_IHuhSq3AJ5eI5OnqOPBNLWSHKh2a30DoXe8/edit?usp=sharing"",""ชุมพร!I473"")"),0)</f>
        <v>0</v>
      </c>
      <c r="J578" s="204">
        <f ca="1">IFERROR(__xludf.DUMMYFUNCTION("IMPORTRANGE(""https://docs.google.com/spreadsheets/d/1IYY_tgx_IHuhSq3AJ5eI5OnqOPBNLWSHKh2a30DoXe8/edit?usp=sharing"",""ชุมพร!J473"")"),0)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IFERROR(__xludf.DUMMYFUNCTION("IMPORTRANGE(""https://docs.google.com/spreadsheets/d/1IYY_tgx_IHuhSq3AJ5eI5OnqOPBNLWSHKh2a30DoXe8/edit?usp=sharing"",""ชุมพร!I474"")"),0)</f>
        <v>0</v>
      </c>
      <c r="J579" s="204">
        <f ca="1">IFERROR(__xludf.DUMMYFUNCTION("IMPORTRANGE(""https://docs.google.com/spreadsheets/d/1IYY_tgx_IHuhSq3AJ5eI5OnqOPBNLWSHKh2a30DoXe8/edit?usp=sharing"",""ชุมพร!J474"")"),0)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IFERROR(__xludf.DUMMYFUNCTION("IMPORTRANGE(""https://docs.google.com/spreadsheets/d/1IYY_tgx_IHuhSq3AJ5eI5OnqOPBNLWSHKh2a30DoXe8/edit?usp=sharing"",""ชุมพร!L476"")"),0)</f>
        <v>0</v>
      </c>
      <c r="M581" s="168"/>
      <c r="N581" s="175">
        <f ca="1">IFERROR(__xludf.DUMMYFUNCTION("IMPORTRANGE(""https://docs.google.com/spreadsheets/d/1IYY_tgx_IHuhSq3AJ5eI5OnqOPBNLWSHKh2a30DoXe8/edit?usp=sharing"",""ชุมพร!M476"")"),0)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5">
        <f ca="1">IFERROR(__xludf.DUMMYFUNCTION("IMPORTRANGE(""https://docs.google.com/spreadsheets/d/1IYY_tgx_IHuhSq3AJ5eI5OnqOPBNLWSHKh2a30DoXe8/edit?usp=sharing"",""ชุมพร!M477"")"),0)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IFERROR(__xludf.DUMMYFUNCTION("IMPORTRANGE(""https://docs.google.com/spreadsheets/d/1IYY_tgx_IHuhSq3AJ5eI5OnqOPBNLWSHKh2a30DoXe8/edit?usp=sharing"",""ชุมพร!L478"")"),0)</f>
        <v>0</v>
      </c>
      <c r="M583" s="175"/>
      <c r="N583" s="175">
        <f ca="1">IFERROR(__xludf.DUMMYFUNCTION("IMPORTRANGE(""https://docs.google.com/spreadsheets/d/1IYY_tgx_IHuhSq3AJ5eI5OnqOPBNLWSHKh2a30DoXe8/edit?usp=sharing"",""ชุมพร!M478"")"),0)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IFERROR(__xludf.DUMMYFUNCTION("IMPORTRANGE(""https://docs.google.com/spreadsheets/d/1IYY_tgx_IHuhSq3AJ5eI5OnqOPBNLWSHKh2a30DoXe8/edit?usp=sharing"",""ชุมพร!L479"")"),0)</f>
        <v>0</v>
      </c>
      <c r="M584" s="175"/>
      <c r="N584" s="175">
        <f ca="1">IFERROR(__xludf.DUMMYFUNCTION("IMPORTRANGE(""https://docs.google.com/spreadsheets/d/1IYY_tgx_IHuhSq3AJ5eI5OnqOPBNLWSHKh2a30DoXe8/edit?usp=sharing"",""ชุมพร!M479"")"),0)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IFERROR(__xludf.DUMMYFUNCTION("IMPORTRANGE(""https://docs.google.com/spreadsheets/d/1IYY_tgx_IHuhSq3AJ5eI5OnqOPBNLWSHKh2a30DoXe8/edit?usp=sharing"",""ชุมพร!M480"")"),0)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IFERROR(__xludf.DUMMYFUNCTION("IMPORTRANGE(""https://docs.google.com/spreadsheets/d/1IYY_tgx_IHuhSq3AJ5eI5OnqOPBNLWSHKh2a30DoXe8/edit?usp=sharing"",""ชุมพร!M481"")"),0)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IFERROR(__xludf.DUMMYFUNCTION("IMPORTRANGE(""https://docs.google.com/spreadsheets/d/1IYY_tgx_IHuhSq3AJ5eI5OnqOPBNLWSHKh2a30DoXe8/edit?usp=sharing"",""ชุมพร!M482"")"),0)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IFERROR(__xludf.DUMMYFUNCTION("IMPORTRANGE(""https://docs.google.com/spreadsheets/d/1IYY_tgx_IHuhSq3AJ5eI5OnqOPBNLWSHKh2a30DoXe8/edit?usp=sharing"",""ชุมพร!M483"")"),0)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4">
        <f ca="1">IFERROR(__xludf.DUMMYFUNCTION("IMPORTRANGE(""https://docs.google.com/spreadsheets/d/1IYY_tgx_IHuhSq3AJ5eI5OnqOPBNLWSHKh2a30DoXe8/edit?usp=sharing"",""ชุมพร!J484"")"),2)</f>
        <v>2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4">
        <f ca="1">IFERROR(__xludf.DUMMYFUNCTION("IMPORTRANGE(""https://docs.google.com/spreadsheets/d/1IYY_tgx_IHuhSq3AJ5eI5OnqOPBNLWSHKh2a30DoXe8/edit?usp=sharing"",""ชุมพร!J485"")"),0.88)</f>
        <v>0.88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4">
        <f ca="1">IFERROR(__xludf.DUMMYFUNCTION("IMPORTRANGE(""https://docs.google.com/spreadsheets/d/1IYY_tgx_IHuhSq3AJ5eI5OnqOPBNLWSHKh2a30DoXe8/edit?usp=sharing"",""ชุมพร!J486"")"),0)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4">
        <f ca="1">IFERROR(__xludf.DUMMYFUNCTION("IMPORTRANGE(""https://docs.google.com/spreadsheets/d/1IYY_tgx_IHuhSq3AJ5eI5OnqOPBNLWSHKh2a30DoXe8/edit?usp=sharing"",""ชุมพร!J487"")"),0)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4">
        <f ca="1">IFERROR(__xludf.DUMMYFUNCTION("IMPORTRANGE(""https://docs.google.com/spreadsheets/d/1IYY_tgx_IHuhSq3AJ5eI5OnqOPBNLWSHKh2a30DoXe8/edit?usp=sharing"",""ชุมพร!J488"")"),0)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4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4">
        <f ca="1">IFERROR(__xludf.DUMMYFUNCTION("IMPORTRANGE(""https://docs.google.com/spreadsheets/d/1IYY_tgx_IHuhSq3AJ5eI5OnqOPBNLWSHKh2a30DoXe8/edit?usp=sharing"",""ชุมพร!J490"")"),0)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IFERROR(__xludf.DUMMYFUNCTION("IMPORTRANGE(""https://docs.google.com/spreadsheets/d/1IYY_tgx_IHuhSq3AJ5eI5OnqOPBNLWSHKh2a30DoXe8/edit?usp=sharing"",""ชุมพร!I491"")"),0)</f>
        <v>0</v>
      </c>
      <c r="J596" s="247">
        <f ca="1">IFERROR(__xludf.DUMMYFUNCTION("IMPORTRANGE(""https://docs.google.com/spreadsheets/d/1IYY_tgx_IHuhSq3AJ5eI5OnqOPBNLWSHKh2a30DoXe8/edit?usp=sharing"",""ชุมพร!J491"")"),0)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4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IFERROR(__xludf.DUMMYFUNCTION("IMPORTRANGE(""https://docs.google.com/spreadsheets/d/1IYY_tgx_IHuhSq3AJ5eI5OnqOPBNLWSHKh2a30DoXe8/edit?usp=sharing"",""ชุมพร!L492"")"),12900)</f>
        <v>12900</v>
      </c>
      <c r="M597" s="418"/>
      <c r="N597" s="418">
        <f ca="1">IFERROR(__xludf.DUMMYFUNCTION("IMPORTRANGE(""https://docs.google.com/spreadsheets/d/1IYY_tgx_IHuhSq3AJ5eI5OnqOPBNLWSHKh2a30DoXe8/edit?usp=sharing"",""ชุมพร!M492"")"),3200)</f>
        <v>3200</v>
      </c>
      <c r="O597" s="418">
        <f t="shared" ref="O597:O601" ca="1" si="126">+IF(L597&gt;0,N597*100/L597,0)</f>
        <v>24.806201550387598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IFERROR(__xludf.DUMMYFUNCTION("IMPORTRANGE(""https://docs.google.com/spreadsheets/d/1IYY_tgx_IHuhSq3AJ5eI5OnqOPBNLWSHKh2a30DoXe8/edit?usp=sharing"",""ชุมพร!L493"")"),0)</f>
        <v>0</v>
      </c>
      <c r="M598" s="168"/>
      <c r="N598" s="175">
        <f ca="1">IFERROR(__xludf.DUMMYFUNCTION("IMPORTRANGE(""https://docs.google.com/spreadsheets/d/1IYY_tgx_IHuhSq3AJ5eI5OnqOPBNLWSHKh2a30DoXe8/edit?usp=sharing"",""ชุมพร!M493"")"),0)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IFERROR(__xludf.DUMMYFUNCTION("IMPORTRANGE(""https://docs.google.com/spreadsheets/d/1IYY_tgx_IHuhSq3AJ5eI5OnqOPBNLWSHKh2a30DoXe8/edit?usp=sharing"",""ชุมพร!L494"")"),12900)</f>
        <v>12900</v>
      </c>
      <c r="M599" s="169"/>
      <c r="N599" s="175">
        <f ca="1">IFERROR(__xludf.DUMMYFUNCTION("IMPORTRANGE(""https://docs.google.com/spreadsheets/d/1IYY_tgx_IHuhSq3AJ5eI5OnqOPBNLWSHKh2a30DoXe8/edit?usp=sharing"",""ชุมพร!M494"")"),3200)</f>
        <v>3200</v>
      </c>
      <c r="O599" s="175">
        <f t="shared" ca="1" si="126"/>
        <v>24.806201550387598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IFERROR(__xludf.DUMMYFUNCTION("IMPORTRANGE(""https://docs.google.com/spreadsheets/d/1IYY_tgx_IHuhSq3AJ5eI5OnqOPBNLWSHKh2a30DoXe8/edit?usp=sharing"",""ชุมพร!L495"")"),0)</f>
        <v>0</v>
      </c>
      <c r="M600" s="175"/>
      <c r="N600" s="175">
        <f ca="1">IFERROR(__xludf.DUMMYFUNCTION("IMPORTRANGE(""https://docs.google.com/spreadsheets/d/1IYY_tgx_IHuhSq3AJ5eI5OnqOPBNLWSHKh2a30DoXe8/edit?usp=sharing"",""ชุมพร!M495"")"),0)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IFERROR(__xludf.DUMMYFUNCTION("IMPORTRANGE(""https://docs.google.com/spreadsheets/d/1IYY_tgx_IHuhSq3AJ5eI5OnqOPBNLWSHKh2a30DoXe8/edit?usp=sharing"",""ชุมพร!L496"")"),12900)</f>
        <v>12900</v>
      </c>
      <c r="M601" s="175"/>
      <c r="N601" s="175">
        <f ca="1">IFERROR(__xludf.DUMMYFUNCTION("IMPORTRANGE(""https://docs.google.com/spreadsheets/d/1IYY_tgx_IHuhSq3AJ5eI5OnqOPBNLWSHKh2a30DoXe8/edit?usp=sharing"",""ชุมพร!M496"")"),3200)</f>
        <v>3200</v>
      </c>
      <c r="O601" s="175">
        <f t="shared" ca="1" si="126"/>
        <v>24.806201550387598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IFERROR(__xludf.DUMMYFUNCTION("IMPORTRANGE(""https://docs.google.com/spreadsheets/d/1IYY_tgx_IHuhSq3AJ5eI5OnqOPBNLWSHKh2a30DoXe8/edit?usp=sharing"",""ชุมพร!M497"")"),0)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IFERROR(__xludf.DUMMYFUNCTION("IMPORTRANGE(""https://docs.google.com/spreadsheets/d/1IYY_tgx_IHuhSq3AJ5eI5OnqOPBNLWSHKh2a30DoXe8/edit?usp=sharing"",""ชุมพร!M498"")"),0)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IFERROR(__xludf.DUMMYFUNCTION("IMPORTRANGE(""https://docs.google.com/spreadsheets/d/1IYY_tgx_IHuhSq3AJ5eI5OnqOPBNLWSHKh2a30DoXe8/edit?usp=sharing"",""ชุมพร!M500"")"),3200)</f>
        <v>3200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IFERROR(__xludf.DUMMYFUNCTION("IMPORTRANGE(""https://docs.google.com/spreadsheets/d/1IYY_tgx_IHuhSq3AJ5eI5OnqOPBNLWSHKh2a30DoXe8/edit?usp=sharing"",""ชุมพร!J502"")"),0)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IFERROR(__xludf.DUMMYFUNCTION("IMPORTRANGE(""https://docs.google.com/spreadsheets/d/1IYY_tgx_IHuhSq3AJ5eI5OnqOPBNLWSHKh2a30DoXe8/edit?usp=sharing"",""ชุมพร!J503"")"),1)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IFERROR(__xludf.DUMMYFUNCTION("IMPORTRANGE(""https://docs.google.com/spreadsheets/d/1IYY_tgx_IHuhSq3AJ5eI5OnqOPBNLWSHKh2a30DoXe8/edit?usp=sharing"",""ชุมพร!J166"")"),0)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IFERROR(__xludf.DUMMYFUNCTION("IMPORTRANGE(""https://docs.google.com/spreadsheets/d/1IYY_tgx_IHuhSq3AJ5eI5OnqOPBNLWSHKh2a30DoXe8/edit?usp=sharing"",""ชุมพร!J166"")"),0)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IFERROR(__xludf.DUMMYFUNCTION("IMPORTRANGE(""https://docs.google.com/spreadsheets/d/1IYY_tgx_IHuhSq3AJ5eI5OnqOPBNLWSHKh2a30DoXe8/edit?usp=sharing"",""ชุมพร!I506"")"),100)</f>
        <v>100</v>
      </c>
      <c r="J611" s="166">
        <f ca="1">IFERROR(__xludf.DUMMYFUNCTION("IMPORTRANGE(""https://docs.google.com/spreadsheets/d/1IYY_tgx_IHuhSq3AJ5eI5OnqOPBNLWSHKh2a30DoXe8/edit?usp=sharing"",""ชุมพร!J506"")"),0)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IFERROR(__xludf.DUMMYFUNCTION("IMPORTRANGE(""https://docs.google.com/spreadsheets/d/1IYY_tgx_IHuhSq3AJ5eI5OnqOPBNLWSHKh2a30DoXe8/edit?usp=sharing"",""ชุมพร!I507"")"),0)</f>
        <v>0</v>
      </c>
      <c r="J612" s="204">
        <f ca="1">IFERROR(__xludf.DUMMYFUNCTION("IMPORTRANGE(""https://docs.google.com/spreadsheets/d/1IYY_tgx_IHuhSq3AJ5eI5OnqOPBNLWSHKh2a30DoXe8/edit?usp=sharing"",""ชุมพร!J507"")"),0)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IFERROR(__xludf.DUMMYFUNCTION("IMPORTRANGE(""https://docs.google.com/spreadsheets/d/1IYY_tgx_IHuhSq3AJ5eI5OnqOPBNLWSHKh2a30DoXe8/edit?usp=sharing"",""ชุมพร!I508"")"),0)</f>
        <v>0</v>
      </c>
      <c r="J613" s="204">
        <f ca="1">IFERROR(__xludf.DUMMYFUNCTION("IMPORTRANGE(""https://docs.google.com/spreadsheets/d/1IYY_tgx_IHuhSq3AJ5eI5OnqOPBNLWSHKh2a30DoXe8/edit?usp=sharing"",""ชุมพร!J508"")"),0)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IFERROR(__xludf.DUMMYFUNCTION("IMPORTRANGE(""https://docs.google.com/spreadsheets/d/1IYY_tgx_IHuhSq3AJ5eI5OnqOPBNLWSHKh2a30DoXe8/edit?usp=sharing"",""ชุมพร!I509"")"),0)</f>
        <v>0</v>
      </c>
      <c r="J614" s="204">
        <f ca="1">IFERROR(__xludf.DUMMYFUNCTION("IMPORTRANGE(""https://docs.google.com/spreadsheets/d/1IYY_tgx_IHuhSq3AJ5eI5OnqOPBNLWSHKh2a30DoXe8/edit?usp=sharing"",""ชุมพร!J509"")"),0)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IFERROR(__xludf.DUMMYFUNCTION("IMPORTRANGE(""https://docs.google.com/spreadsheets/d/1IYY_tgx_IHuhSq3AJ5eI5OnqOPBNLWSHKh2a30DoXe8/edit?usp=sharing"",""ชุมพร!I510"")"),0)</f>
        <v>0</v>
      </c>
      <c r="J615" s="204">
        <f ca="1">IFERROR(__xludf.DUMMYFUNCTION("IMPORTRANGE(""https://docs.google.com/spreadsheets/d/1IYY_tgx_IHuhSq3AJ5eI5OnqOPBNLWSHKh2a30DoXe8/edit?usp=sharing"",""ชุมพร!J510"")"),0)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IFERROR(__xludf.DUMMYFUNCTION("IMPORTRANGE(""https://docs.google.com/spreadsheets/d/1IYY_tgx_IHuhSq3AJ5eI5OnqOPBNLWSHKh2a30DoXe8/edit?usp=sharing"",""ชุมพร!I511"")"),0)</f>
        <v>0</v>
      </c>
      <c r="J616" s="204">
        <f ca="1">IFERROR(__xludf.DUMMYFUNCTION("IMPORTRANGE(""https://docs.google.com/spreadsheets/d/1IYY_tgx_IHuhSq3AJ5eI5OnqOPBNLWSHKh2a30DoXe8/edit?usp=sharing"",""ชุมพร!J511"")"),0)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IFERROR(__xludf.DUMMYFUNCTION("IMPORTRANGE(""https://docs.google.com/spreadsheets/d/1IYY_tgx_IHuhSq3AJ5eI5OnqOPBNLWSHKh2a30DoXe8/edit?usp=sharing"",""ชุมพร!I512"")"),0)</f>
        <v>0</v>
      </c>
      <c r="J617" s="194">
        <f ca="1">IFERROR(__xludf.DUMMYFUNCTION("IMPORTRANGE(""https://docs.google.com/spreadsheets/d/1IYY_tgx_IHuhSq3AJ5eI5OnqOPBNLWSHKh2a30DoXe8/edit?usp=sharing"",""ชุมพร!J512"")"),0)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IFERROR(__xludf.DUMMYFUNCTION("IMPORTRANGE(""https://docs.google.com/spreadsheets/d/1IYY_tgx_IHuhSq3AJ5eI5OnqOPBNLWSHKh2a30DoXe8/edit?usp=sharing"",""ชุมพร!I513"")"),0)</f>
        <v>0</v>
      </c>
      <c r="J618" s="195">
        <f ca="1">IFERROR(__xludf.DUMMYFUNCTION("IMPORTRANGE(""https://docs.google.com/spreadsheets/d/1IYY_tgx_IHuhSq3AJ5eI5OnqOPBNLWSHKh2a30DoXe8/edit?usp=sharing"",""ชุมพร!J513"")"),0)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IFERROR(__xludf.DUMMYFUNCTION("IMPORTRANGE(""https://docs.google.com/spreadsheets/d/1IYY_tgx_IHuhSq3AJ5eI5OnqOPBNLWSHKh2a30DoXe8/edit?usp=sharing"",""ชุมพร!I514"")"),0)</f>
        <v>0</v>
      </c>
      <c r="J619" s="195">
        <f ca="1">IFERROR(__xludf.DUMMYFUNCTION("IMPORTRANGE(""https://docs.google.com/spreadsheets/d/1IYY_tgx_IHuhSq3AJ5eI5OnqOPBNLWSHKh2a30DoXe8/edit?usp=sharing"",""ชุมพร!J514"")"),0)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IFERROR(__xludf.DUMMYFUNCTION("IMPORTRANGE(""https://docs.google.com/spreadsheets/d/1IYY_tgx_IHuhSq3AJ5eI5OnqOPBNLWSHKh2a30DoXe8/edit?usp=sharing"",""ชุมพร!I515"")"),0)</f>
        <v>0</v>
      </c>
      <c r="J620" s="209">
        <f ca="1">IFERROR(__xludf.DUMMYFUNCTION("IMPORTRANGE(""https://docs.google.com/spreadsheets/d/1IYY_tgx_IHuhSq3AJ5eI5OnqOPBNLWSHKh2a30DoXe8/edit?usp=sharing"",""ชุมพร!J515"")"),0)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IFERROR(__xludf.DUMMYFUNCTION("IMPORTRANGE(""https://docs.google.com/spreadsheets/d/1IYY_tgx_IHuhSq3AJ5eI5OnqOPBNLWSHKh2a30DoXe8/edit?usp=sharing"",""ชุมพร!I516"")"),0)</f>
        <v>0</v>
      </c>
      <c r="J621" s="209">
        <f ca="1">IFERROR(__xludf.DUMMYFUNCTION("IMPORTRANGE(""https://docs.google.com/spreadsheets/d/1IYY_tgx_IHuhSq3AJ5eI5OnqOPBNLWSHKh2a30DoXe8/edit?usp=sharing"",""ชุมพร!J516"")"),0)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IFERROR(__xludf.DUMMYFUNCTION("IMPORTRANGE(""https://docs.google.com/spreadsheets/d/1IYY_tgx_IHuhSq3AJ5eI5OnqOPBNLWSHKh2a30DoXe8/edit?usp=sharing"",""ชุมพร!I517"")"),0)</f>
        <v>0</v>
      </c>
      <c r="J622" s="195">
        <f ca="1">IFERROR(__xludf.DUMMYFUNCTION("IMPORTRANGE(""https://docs.google.com/spreadsheets/d/1IYY_tgx_IHuhSq3AJ5eI5OnqOPBNLWSHKh2a30DoXe8/edit?usp=sharing"",""ชุมพร!J517"")"),0)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IFERROR(__xludf.DUMMYFUNCTION("IMPORTRANGE(""https://docs.google.com/spreadsheets/d/1IYY_tgx_IHuhSq3AJ5eI5OnqOPBNLWSHKh2a30DoXe8/edit?usp=sharing"",""ชุมพร!I518"")"),0)</f>
        <v>0</v>
      </c>
      <c r="J623" s="195">
        <f ca="1">IFERROR(__xludf.DUMMYFUNCTION("IMPORTRANGE(""https://docs.google.com/spreadsheets/d/1IYY_tgx_IHuhSq3AJ5eI5OnqOPBNLWSHKh2a30DoXe8/edit?usp=sharing"",""ชุมพร!J518"")"),0)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IFERROR(__xludf.DUMMYFUNCTION("IMPORTRANGE(""https://docs.google.com/spreadsheets/d/1IYY_tgx_IHuhSq3AJ5eI5OnqOPBNLWSHKh2a30DoXe8/edit?usp=sharing"",""ชุมพร!I519"")"),0)</f>
        <v>0</v>
      </c>
      <c r="J624" s="194">
        <f ca="1">IFERROR(__xludf.DUMMYFUNCTION("IMPORTRANGE(""https://docs.google.com/spreadsheets/d/1IYY_tgx_IHuhSq3AJ5eI5OnqOPBNLWSHKh2a30DoXe8/edit?usp=sharing"",""ชุมพร!J519"")"),0)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IFERROR(__xludf.DUMMYFUNCTION("IMPORTRANGE(""https://docs.google.com/spreadsheets/d/1IYY_tgx_IHuhSq3AJ5eI5OnqOPBNLWSHKh2a30DoXe8/edit?usp=sharing"",""ชุมพร!I520"")"),0)</f>
        <v>0</v>
      </c>
      <c r="J625" s="195">
        <f ca="1">IFERROR(__xludf.DUMMYFUNCTION("IMPORTRANGE(""https://docs.google.com/spreadsheets/d/1IYY_tgx_IHuhSq3AJ5eI5OnqOPBNLWSHKh2a30DoXe8/edit?usp=sharing"",""ชุมพร!J520"")"),0)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IFERROR(__xludf.DUMMYFUNCTION("IMPORTRANGE(""https://docs.google.com/spreadsheets/d/1IYY_tgx_IHuhSq3AJ5eI5OnqOPBNLWSHKh2a30DoXe8/edit?usp=sharing"",""ชุมพร!I521"")"),0)</f>
        <v>0</v>
      </c>
      <c r="J626" s="195">
        <f ca="1">IFERROR(__xludf.DUMMYFUNCTION("IMPORTRANGE(""https://docs.google.com/spreadsheets/d/1IYY_tgx_IHuhSq3AJ5eI5OnqOPBNLWSHKh2a30DoXe8/edit?usp=sharing"",""ชุมพร!J521"")"),0)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IFERROR(__xludf.DUMMYFUNCTION("IMPORTRANGE(""https://docs.google.com/spreadsheets/d/1IYY_tgx_IHuhSq3AJ5eI5OnqOPBNLWSHKh2a30DoXe8/edit?usp=sharing"",""ชุมพร!J523"")"),467060.17)</f>
        <v>467060.17</v>
      </c>
      <c r="K628" s="348">
        <f t="shared" ref="K628:K635" ca="1" si="129">IF(I628&gt;0,J628*100/I628,0)</f>
        <v>46.859218058929685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IFERROR(__xludf.DUMMYFUNCTION("IMPORTRANGE(""https://docs.google.com/spreadsheets/d/1IYY_tgx_IHuhSq3AJ5eI5OnqOPBNLWSHKh2a30DoXe8/edit?usp=sharing"",""ชุมพร!J524"")"),45)</f>
        <v>45</v>
      </c>
      <c r="K629" s="348">
        <f t="shared" ca="1" si="129"/>
        <v>45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IFERROR(__xludf.DUMMYFUNCTION("IMPORTRANGE(""https://docs.google.com/spreadsheets/d/1IYY_tgx_IHuhSq3AJ5eI5OnqOPBNLWSHKh2a30DoXe8/edit?usp=sharing"",""ชุมพร!J525"")"),574877.8)</f>
        <v>574877.80000000005</v>
      </c>
      <c r="K630" s="348">
        <f t="shared" ca="1" si="129"/>
        <v>85.795362830049569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IFERROR(__xludf.DUMMYFUNCTION("IMPORTRANGE(""https://docs.google.com/spreadsheets/d/1IYY_tgx_IHuhSq3AJ5eI5OnqOPBNLWSHKh2a30DoXe8/edit?usp=sharing"",""ชุมพร!J526"")"),34)</f>
        <v>34</v>
      </c>
      <c r="K631" s="348">
        <f t="shared" ca="1" si="129"/>
        <v>125.92592592592592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IFERROR(__xludf.DUMMYFUNCTION("IMPORTRANGE(""https://docs.google.com/spreadsheets/d/1IYY_tgx_IHuhSq3AJ5eI5OnqOPBNLWSHKh2a30DoXe8/edit?usp=sharing"",""ชุมพร!I529"")"),1350000)</f>
        <v>1350000</v>
      </c>
      <c r="J634" s="347">
        <f ca="1">IFERROR(__xludf.DUMMYFUNCTION("IMPORTRANGE(""https://docs.google.com/spreadsheets/d/1IYY_tgx_IHuhSq3AJ5eI5OnqOPBNLWSHKh2a30DoXe8/edit?usp=sharing"",""ชุมพร!J529"")"),1350000)</f>
        <v>1350000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IFERROR(__xludf.DUMMYFUNCTION("IMPORTRANGE(""https://docs.google.com/spreadsheets/d/1IYY_tgx_IHuhSq3AJ5eI5OnqOPBNLWSHKh2a30DoXe8/edit?usp=sharing"",""ชุมพร!I530"")"),45)</f>
        <v>45</v>
      </c>
      <c r="J635" s="518">
        <f ca="1">IFERROR(__xludf.DUMMYFUNCTION("IMPORTRANGE(""https://docs.google.com/spreadsheets/d/1IYY_tgx_IHuhSq3AJ5eI5OnqOPBNLWSHKh2a30DoXe8/edit?usp=sharing"",""ชุมพร!J530"")"),45)</f>
        <v>45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IFERROR(__xludf.DUMMYFUNCTION("IMPORTRANGE(""https://docs.google.com/spreadsheets/d/1IYY_tgx_IHuhSq3AJ5eI5OnqOPBNLWSHKh2a30DoXe8/edit?usp=sharing"",""ชุมพร!J541"")"),0)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IFERROR(__xludf.DUMMYFUNCTION("IMPORTRANGE(""https://docs.google.com/spreadsheets/d/1IYY_tgx_IHuhSq3AJ5eI5OnqOPBNLWSHKh2a30DoXe8/edit?usp=sharing"",""ชุมพร!J542"")"),0)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IFERROR(__xludf.DUMMYFUNCTION("IMPORTRANGE(""https://docs.google.com/spreadsheets/d/1IYY_tgx_IHuhSq3AJ5eI5OnqOPBNLWSHKh2a30DoXe8/edit?usp=sharing"",""ชุมพร!I543"")"),0)</f>
        <v>0</v>
      </c>
      <c r="J648" s="547">
        <f ca="1">IFERROR(__xludf.DUMMYFUNCTION("IMPORTRANGE(""https://docs.google.com/spreadsheets/d/1IYY_tgx_IHuhSq3AJ5eI5OnqOPBNLWSHKh2a30DoXe8/edit?usp=sharing"",""ชุมพร!J543"")"),0)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IFERROR(__xludf.DUMMYFUNCTION("IMPORTRANGE(""https://docs.google.com/spreadsheets/d/1IYY_tgx_IHuhSq3AJ5eI5OnqOPBNLWSHKh2a30DoXe8/edit?usp=sharing"",""ชุมพร!L543"")"),0)</f>
        <v>0</v>
      </c>
      <c r="M648" s="534"/>
      <c r="N648" s="549">
        <f ca="1">IFERROR(__xludf.DUMMYFUNCTION("IMPORTRANGE(""https://docs.google.com/spreadsheets/d/1IYY_tgx_IHuhSq3AJ5eI5OnqOPBNLWSHKh2a30DoXe8/edit?usp=sharing"",""ชุมพร!M543"")"),0)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IFERROR(__xludf.DUMMYFUNCTION("IMPORTRANGE(""https://docs.google.com/spreadsheets/d/1IYY_tgx_IHuhSq3AJ5eI5OnqOPBNLWSHKh2a30DoXe8/edit?usp=sharing"",""ชุมพร!I544"")"),0)</f>
        <v>0</v>
      </c>
      <c r="J649" s="547">
        <f ca="1">IFERROR(__xludf.DUMMYFUNCTION("IMPORTRANGE(""https://docs.google.com/spreadsheets/d/1IYY_tgx_IHuhSq3AJ5eI5OnqOPBNLWSHKh2a30DoXe8/edit?usp=sharing"",""ชุมพร!J544"")"),0)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IFERROR(__xludf.DUMMYFUNCTION("IMPORTRANGE(""https://docs.google.com/spreadsheets/d/1IYY_tgx_IHuhSq3AJ5eI5OnqOPBNLWSHKh2a30DoXe8/edit?usp=sharing"",""ชุมพร!L544"")"),0)</f>
        <v>0</v>
      </c>
      <c r="M649" s="534"/>
      <c r="N649" s="549">
        <f ca="1">IFERROR(__xludf.DUMMYFUNCTION("IMPORTRANGE(""https://docs.google.com/spreadsheets/d/1IYY_tgx_IHuhSq3AJ5eI5OnqOPBNLWSHKh2a30DoXe8/edit?usp=sharing"",""ชุมพร!M544"")"),0)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IFERROR(__xludf.DUMMYFUNCTION("IMPORTRANGE(""https://docs.google.com/spreadsheets/d/1IYY_tgx_IHuhSq3AJ5eI5OnqOPBNLWSHKh2a30DoXe8/edit?usp=sharing"",""ชุมพร!I545"")"),0)</f>
        <v>0</v>
      </c>
      <c r="J650" s="547">
        <f ca="1">IFERROR(__xludf.DUMMYFUNCTION("IMPORTRANGE(""https://docs.google.com/spreadsheets/d/1IYY_tgx_IHuhSq3AJ5eI5OnqOPBNLWSHKh2a30DoXe8/edit?usp=sharing"",""ชุมพร!J545"")"),0)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IFERROR(__xludf.DUMMYFUNCTION("IMPORTRANGE(""https://docs.google.com/spreadsheets/d/1IYY_tgx_IHuhSq3AJ5eI5OnqOPBNLWSHKh2a30DoXe8/edit?usp=sharing"",""ชุมพร!L545"")"),0)</f>
        <v>0</v>
      </c>
      <c r="M650" s="534"/>
      <c r="N650" s="549">
        <f ca="1">IFERROR(__xludf.DUMMYFUNCTION("IMPORTRANGE(""https://docs.google.com/spreadsheets/d/1IYY_tgx_IHuhSq3AJ5eI5OnqOPBNLWSHKh2a30DoXe8/edit?usp=sharing"",""ชุมพร!M545"")"),0)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IFERROR(__xludf.DUMMYFUNCTION("IMPORTRANGE(""https://docs.google.com/spreadsheets/d/1IYY_tgx_IHuhSq3AJ5eI5OnqOPBNLWSHKh2a30DoXe8/edit?usp=sharing"",""ชุมพร!I546"")"),0)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IFERROR(__xludf.DUMMYFUNCTION("IMPORTRANGE(""https://docs.google.com/spreadsheets/d/1IYY_tgx_IHuhSq3AJ5eI5OnqOPBNLWSHKh2a30DoXe8/edit?usp=sharing"",""ชุมพร!L546"")"),0)</f>
        <v>0</v>
      </c>
      <c r="M651" s="534"/>
      <c r="N651" s="549">
        <f ca="1">IFERROR(__xludf.DUMMYFUNCTION("IMPORTRANGE(""https://docs.google.com/spreadsheets/d/1IYY_tgx_IHuhSq3AJ5eI5OnqOPBNLWSHKh2a30DoXe8/edit?usp=sharing"",""ชุมพร!M546"")"),0)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IFERROR(__xludf.DUMMYFUNCTION("IMPORTRANGE(""https://docs.google.com/spreadsheets/d/1IYY_tgx_IHuhSq3AJ5eI5OnqOPBNLWSHKh2a30DoXe8/edit?usp=sharing"",""ชุมพร!J547"")"),0)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IFERROR(__xludf.DUMMYFUNCTION("IMPORTRANGE(""https://docs.google.com/spreadsheets/d/1IYY_tgx_IHuhSq3AJ5eI5OnqOPBNLWSHKh2a30DoXe8/edit?usp=sharing"",""ชุมพร!J548"")"),0)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IFERROR(__xludf.DUMMYFUNCTION("IMPORTRANGE(""https://docs.google.com/spreadsheets/d/1IYY_tgx_IHuhSq3AJ5eI5OnqOPBNLWSHKh2a30DoXe8/edit?usp=sharing"",""ชุมพร!J550"")"),0)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IFERROR(__xludf.DUMMYFUNCTION("IMPORTRANGE(""https://docs.google.com/spreadsheets/d/1IYY_tgx_IHuhSq3AJ5eI5OnqOPBNLWSHKh2a30DoXe8/edit?usp=sharing"",""ชุมพร!J551"")"),0)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IFERROR(__xludf.DUMMYFUNCTION("IMPORTRANGE(""https://docs.google.com/spreadsheets/d/1IYY_tgx_IHuhSq3AJ5eI5OnqOPBNLWSHKh2a30DoXe8/edit?usp=sharing"",""ชุมพร!J552"")"),0)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IFERROR(__xludf.DUMMYFUNCTION("IMPORTRANGE(""https://docs.google.com/spreadsheets/d/1IYY_tgx_IHuhSq3AJ5eI5OnqOPBNLWSHKh2a30DoXe8/edit?usp=sharing"",""ชุมพร!J553"")"),0)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IFERROR(__xludf.DUMMYFUNCTION("IMPORTRANGE(""https://docs.google.com/spreadsheets/d/1IYY_tgx_IHuhSq3AJ5eI5OnqOPBNLWSHKh2a30DoXe8/edit?usp=sharing"",""ชุมพร!J554"")"),0)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IFERROR(__xludf.DUMMYFUNCTION("IMPORTRANGE(""https://docs.google.com/spreadsheets/d/1IYY_tgx_IHuhSq3AJ5eI5OnqOPBNLWSHKh2a30DoXe8/edit?usp=sharing"",""ชุมพร!J555"")"),0)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IFERROR(__xludf.DUMMYFUNCTION("IMPORTRANGE(""https://docs.google.com/spreadsheets/d/1IYY_tgx_IHuhSq3AJ5eI5OnqOPBNLWSHKh2a30DoXe8/edit?usp=sharing"",""ชุมพร!J556"")"),0)</f>
        <v>0</v>
      </c>
      <c r="K661" s="548"/>
      <c r="L661" s="535">
        <f ca="1">IFERROR(__xludf.DUMMYFUNCTION("IMPORTRANGE(""https://docs.google.com/spreadsheets/d/1IYY_tgx_IHuhSq3AJ5eI5OnqOPBNLWSHKh2a30DoXe8/edit?usp=sharing"",""ชุมพร!L556"")"),0)</f>
        <v>0</v>
      </c>
      <c r="M661" s="534"/>
      <c r="N661" s="549">
        <f ca="1">IFERROR(__xludf.DUMMYFUNCTION("IMPORTRANGE(""https://docs.google.com/spreadsheets/d/1IYY_tgx_IHuhSq3AJ5eI5OnqOPBNLWSHKh2a30DoXe8/edit?usp=sharing"",""ชุมพร!M556"")"),0)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IFERROR(__xludf.DUMMYFUNCTION("IMPORTRANGE(""https://docs.google.com/spreadsheets/d/1IYY_tgx_IHuhSq3AJ5eI5OnqOPBNLWSHKh2a30DoXe8/edit?usp=sharing"",""ชุมพร!J557"")"),0)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IFERROR(__xludf.DUMMYFUNCTION("IMPORTRANGE(""https://docs.google.com/spreadsheets/d/1IYY_tgx_IHuhSq3AJ5eI5OnqOPBNLWSHKh2a30DoXe8/edit?usp=sharing"",""ชุมพร!I558"")"),0)</f>
        <v>0</v>
      </c>
      <c r="J663" s="547">
        <f ca="1">IFERROR(__xludf.DUMMYFUNCTION("IMPORTRANGE(""https://docs.google.com/spreadsheets/d/1IYY_tgx_IHuhSq3AJ5eI5OnqOPBNLWSHKh2a30DoXe8/edit?usp=sharing"",""ชุมพร!J558"")"),0)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IFERROR(__xludf.DUMMYFUNCTION("IMPORTRANGE(""https://docs.google.com/spreadsheets/d/1IYY_tgx_IHuhSq3AJ5eI5OnqOPBNLWSHKh2a30DoXe8/edit?usp=sharing"",""ชุมพร!I560"")"),0)</f>
        <v>0</v>
      </c>
      <c r="J665" s="547">
        <f ca="1">IFERROR(__xludf.DUMMYFUNCTION("IMPORTRANGE(""https://docs.google.com/spreadsheets/d/1IYY_tgx_IHuhSq3AJ5eI5OnqOPBNLWSHKh2a30DoXe8/edit?usp=sharing"",""ชุมพร!J560"")"),0)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IFERROR(__xludf.DUMMYFUNCTION("IMPORTRANGE(""https://docs.google.com/spreadsheets/d/1IYY_tgx_IHuhSq3AJ5eI5OnqOPBNLWSHKh2a30DoXe8/edit?usp=sharing"",""ชุมพร!L560"")"),0)</f>
        <v>0</v>
      </c>
      <c r="M665" s="534"/>
      <c r="N665" s="549">
        <f ca="1">IFERROR(__xludf.DUMMYFUNCTION("IMPORTRANGE(""https://docs.google.com/spreadsheets/d/1IYY_tgx_IHuhSq3AJ5eI5OnqOPBNLWSHKh2a30DoXe8/edit?usp=sharing"",""ชุมพร!M560"")"),0)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IFERROR(__xludf.DUMMYFUNCTION("IMPORTRANGE(""https://docs.google.com/spreadsheets/d/1IYY_tgx_IHuhSq3AJ5eI5OnqOPBNLWSHKh2a30DoXe8/edit?usp=sharing"",""ชุมพร!J561"")"),0)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IFERROR(__xludf.DUMMYFUNCTION("IMPORTRANGE(""https://docs.google.com/spreadsheets/d/1IYY_tgx_IHuhSq3AJ5eI5OnqOPBNLWSHKh2a30DoXe8/edit?usp=sharing"",""ชุมพร!J562"")"),0)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IFERROR(__xludf.DUMMYFUNCTION("IMPORTRANGE(""https://docs.google.com/spreadsheets/d/1IYY_tgx_IHuhSq3AJ5eI5OnqOPBNLWSHKh2a30DoXe8/edit?usp=sharing"",""ชุมพร!I563"")"),0)</f>
        <v>0</v>
      </c>
      <c r="J668" s="547">
        <f ca="1">IFERROR(__xludf.DUMMYFUNCTION("IMPORTRANGE(""https://docs.google.com/spreadsheets/d/1IYY_tgx_IHuhSq3AJ5eI5OnqOPBNLWSHKh2a30DoXe8/edit?usp=sharing"",""ชุมพร!J563"")"),0)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IFERROR(__xludf.DUMMYFUNCTION("IMPORTRANGE(""https://docs.google.com/spreadsheets/d/1IYY_tgx_IHuhSq3AJ5eI5OnqOPBNLWSHKh2a30DoXe8/edit?usp=sharing"",""ชุมพร!L563"")"),0)</f>
        <v>0</v>
      </c>
      <c r="M668" s="534"/>
      <c r="N668" s="549">
        <f ca="1">IFERROR(__xludf.DUMMYFUNCTION("IMPORTRANGE(""https://docs.google.com/spreadsheets/d/1IYY_tgx_IHuhSq3AJ5eI5OnqOPBNLWSHKh2a30DoXe8/edit?usp=sharing"",""ชุมพร!M563"")"),0)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IFERROR(__xludf.DUMMYFUNCTION("IMPORTRANGE(""https://docs.google.com/spreadsheets/d/1IYY_tgx_IHuhSq3AJ5eI5OnqOPBNLWSHKh2a30DoXe8/edit?usp=sharing"",""ชุมพร!J564"")"),0)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IFERROR(__xludf.DUMMYFUNCTION("IMPORTRANGE(""https://docs.google.com/spreadsheets/d/1IYY_tgx_IHuhSq3AJ5eI5OnqOPBNLWSHKh2a30DoXe8/edit?usp=sharing"",""ชุมพร!J565"")"),0)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IFERROR(__xludf.DUMMYFUNCTION("IMPORTRANGE(""https://docs.google.com/spreadsheets/d/1IYY_tgx_IHuhSq3AJ5eI5OnqOPBNLWSHKh2a30DoXe8/edit?usp=sharing"",""ชุมพร!I566"")"),0)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IFERROR(__xludf.DUMMYFUNCTION("IMPORTRANGE(""https://docs.google.com/spreadsheets/d/1IYY_tgx_IHuhSq3AJ5eI5OnqOPBNLWSHKh2a30DoXe8/edit?usp=sharing"",""ชุมพร!L566"")"),0)</f>
        <v>0</v>
      </c>
      <c r="M671" s="534"/>
      <c r="N671" s="549">
        <f ca="1">IFERROR(__xludf.DUMMYFUNCTION("IMPORTRANGE(""https://docs.google.com/spreadsheets/d/1IYY_tgx_IHuhSq3AJ5eI5OnqOPBNLWSHKh2a30DoXe8/edit?usp=sharing"",""ชุมพร!M566"")"),0)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IFERROR(__xludf.DUMMYFUNCTION("IMPORTRANGE(""https://docs.google.com/spreadsheets/d/1IYY_tgx_IHuhSq3AJ5eI5OnqOPBNLWSHKh2a30DoXe8/edit?usp=sharing"",""ชุมพร!J567"")"),0)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IFERROR(__xludf.DUMMYFUNCTION("IMPORTRANGE(""https://docs.google.com/spreadsheets/d/1IYY_tgx_IHuhSq3AJ5eI5OnqOPBNLWSHKh2a30DoXe8/edit?usp=sharing"",""ชุมพร!J568"")"),0)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IFERROR(__xludf.DUMMYFUNCTION("IMPORTRANGE(""https://docs.google.com/spreadsheets/d/1IYY_tgx_IHuhSq3AJ5eI5OnqOPBNLWSHKh2a30DoXe8/edit?usp=sharing"",""ชุมพร!J569"")"),0)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IFERROR(__xludf.DUMMYFUNCTION("IMPORTRANGE(""https://docs.google.com/spreadsheets/d/1IYY_tgx_IHuhSq3AJ5eI5OnqOPBNLWSHKh2a30DoXe8/edit?usp=sharing"",""ชุมพร!J570"")"),0)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IFERROR(__xludf.DUMMYFUNCTION("IMPORTRANGE(""https://docs.google.com/spreadsheets/d/1IYY_tgx_IHuhSq3AJ5eI5OnqOPBNLWSHKh2a30DoXe8/edit?usp=sharing"",""ชุมพร!J571"")"),0)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IFERROR(__xludf.DUMMYFUNCTION("IMPORTRANGE(""https://docs.google.com/spreadsheets/d/1IYY_tgx_IHuhSq3AJ5eI5OnqOPBNLWSHKh2a30DoXe8/edit?usp=sharing"",""ชุมพร!J572"")"),0)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264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3904573</v>
      </c>
      <c r="M8" s="23">
        <f t="shared" ca="1" si="0"/>
        <v>2801131</v>
      </c>
      <c r="N8" s="23">
        <f t="shared" ca="1" si="0"/>
        <v>2995195.44</v>
      </c>
      <c r="O8" s="22">
        <f t="shared" ref="O8:O16" ca="1" si="1">IF(L8&gt;0,N8*100/L8,0)</f>
        <v>76.709935759940976</v>
      </c>
      <c r="P8" s="22">
        <f t="shared" ref="P8:P16" ca="1" si="2">IF(M8&gt;0,N8*100/M8,0)</f>
        <v>106.9280744099437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3904573</v>
      </c>
      <c r="M10" s="30">
        <f t="shared" ca="1" si="4"/>
        <v>2801131</v>
      </c>
      <c r="N10" s="30">
        <f t="shared" ca="1" si="4"/>
        <v>2995195.44</v>
      </c>
      <c r="O10" s="29">
        <f t="shared" ca="1" si="1"/>
        <v>76.709935759940976</v>
      </c>
      <c r="P10" s="29">
        <f t="shared" ca="1" si="2"/>
        <v>106.9280744099437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3660973</v>
      </c>
      <c r="M12" s="38">
        <f t="shared" ca="1" si="6"/>
        <v>2557531</v>
      </c>
      <c r="N12" s="38">
        <f t="shared" ca="1" si="6"/>
        <v>2751595.44</v>
      </c>
      <c r="O12" s="38">
        <f t="shared" ca="1" si="1"/>
        <v>75.160222159518796</v>
      </c>
      <c r="P12" s="38">
        <f t="shared" ca="1" si="2"/>
        <v>107.5879604196391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1786300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1874673</v>
      </c>
      <c r="M14" s="38">
        <f t="shared" si="8"/>
        <v>0</v>
      </c>
      <c r="N14" s="38">
        <f t="shared" ca="1" si="8"/>
        <v>737787.0499999997</v>
      </c>
      <c r="O14" s="41">
        <f t="shared" ca="1" si="1"/>
        <v>39.355506266959608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2663275</v>
      </c>
      <c r="M18" s="23">
        <f t="shared" ca="1" si="11"/>
        <v>2801131</v>
      </c>
      <c r="N18" s="23">
        <f t="shared" ca="1" si="11"/>
        <v>2257408.39</v>
      </c>
      <c r="O18" s="22">
        <f t="shared" ref="O18:O20" ca="1" si="12">IF(L18&gt;0,N18*100/L18,0)</f>
        <v>84.760619537974861</v>
      </c>
      <c r="P18" s="22">
        <f t="shared" ref="P18:P26" ca="1" si="13">IF(M18&gt;0,N18*100/M18,0)</f>
        <v>80.589175943574219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2663275</v>
      </c>
      <c r="M20" s="30">
        <f t="shared" ca="1" si="15"/>
        <v>2801131</v>
      </c>
      <c r="N20" s="30">
        <f t="shared" ca="1" si="15"/>
        <v>2257408.39</v>
      </c>
      <c r="O20" s="29">
        <f t="shared" ca="1" si="12"/>
        <v>84.760619537974861</v>
      </c>
      <c r="P20" s="29">
        <f t="shared" ca="1" si="13"/>
        <v>80.589175943574219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2419675</v>
      </c>
      <c r="M22" s="42">
        <f t="shared" ca="1" si="18"/>
        <v>2557531</v>
      </c>
      <c r="N22" s="41">
        <f t="shared" ca="1" si="18"/>
        <v>2013808.3900000001</v>
      </c>
      <c r="O22" s="41">
        <f t="shared" ca="1" si="17"/>
        <v>83.226399826422977</v>
      </c>
      <c r="P22" s="41">
        <f t="shared" ca="1" si="13"/>
        <v>78.740331593243639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1786300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633375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1241298</v>
      </c>
      <c r="M28" s="23">
        <f t="shared" si="23"/>
        <v>0</v>
      </c>
      <c r="N28" s="23">
        <f t="shared" ca="1" si="23"/>
        <v>737787.0499999997</v>
      </c>
      <c r="O28" s="22">
        <f t="shared" ref="O28:O30" ca="1" si="24">IF(L28&gt;0,N28*100/L28,0)</f>
        <v>59.436738800835876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1241298</v>
      </c>
      <c r="M30" s="30">
        <f t="shared" si="27"/>
        <v>0</v>
      </c>
      <c r="N30" s="30">
        <f t="shared" ca="1" si="27"/>
        <v>737787.0499999997</v>
      </c>
      <c r="O30" s="29">
        <f t="shared" ca="1" si="24"/>
        <v>59.436738800835876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1241298</v>
      </c>
      <c r="M32" s="41">
        <f t="shared" si="30"/>
        <v>0</v>
      </c>
      <c r="N32" s="41">
        <f t="shared" ca="1" si="30"/>
        <v>737787.0499999997</v>
      </c>
      <c r="O32" s="41">
        <f t="shared" ca="1" si="29"/>
        <v>59.436738800835876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1241298</v>
      </c>
      <c r="M34" s="41">
        <f t="shared" si="32"/>
        <v>0</v>
      </c>
      <c r="N34" s="41">
        <f t="shared" ca="1" si="32"/>
        <v>737787.0499999997</v>
      </c>
      <c r="O34" s="41">
        <f t="shared" ca="1" si="29"/>
        <v>59.436738800835876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2663275</v>
      </c>
      <c r="M37" s="55">
        <f t="shared" ca="1" si="33"/>
        <v>2801131</v>
      </c>
      <c r="N37" s="55">
        <f t="shared" ca="1" si="33"/>
        <v>2257408.3899999997</v>
      </c>
      <c r="O37" s="56">
        <f t="shared" ca="1" si="29"/>
        <v>84.760619537974847</v>
      </c>
      <c r="P37" s="56">
        <f t="shared" ca="1" si="25"/>
        <v>80.589175943574205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726100</v>
      </c>
      <c r="M41" s="79">
        <f t="shared" ca="1" si="34"/>
        <v>726100</v>
      </c>
      <c r="N41" s="79">
        <f t="shared" ca="1" si="34"/>
        <v>634260.64</v>
      </c>
      <c r="O41" s="78">
        <f t="shared" ref="O41:O43" ca="1" si="35">IF(L41&gt;0,N41*100/L41,0)</f>
        <v>87.351692604324469</v>
      </c>
      <c r="P41" s="78">
        <f t="shared" ref="P41:P43" ca="1" si="36">IF(M41&gt;0,N41*100/M41,0)</f>
        <v>87.351692604324469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726100</v>
      </c>
      <c r="M43" s="79">
        <f t="shared" ca="1" si="38"/>
        <v>726100</v>
      </c>
      <c r="N43" s="79">
        <f t="shared" ca="1" si="38"/>
        <v>634260.64</v>
      </c>
      <c r="O43" s="78">
        <f t="shared" ca="1" si="35"/>
        <v>87.351692604324469</v>
      </c>
      <c r="P43" s="78">
        <f t="shared" ca="1" si="36"/>
        <v>87.351692604324469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726100</v>
      </c>
      <c r="M45" s="91">
        <f ca="1">IFERROR(__xludf.DUMMYFUNCTION("IMPORTRANGE(""https://docs.google.com/spreadsheets/d/1Yj_ptqi66GCucihVvJfMjLAmec39IyEx_6qawtMGysU/edit?usp=sharing"",""สบก!Q83"")"),726100)</f>
        <v>726100</v>
      </c>
      <c r="N45" s="91">
        <f ca="1">IFERROR(__xludf.DUMMYFUNCTION("IMPORTRANGE(""https://docs.google.com/spreadsheets/d/1Yj_ptqi66GCucihVvJfMjLAmec39IyEx_6qawtMGysU/edit?usp=sharing"",""สบก!R83"")"),634260.64)</f>
        <v>634260.64</v>
      </c>
      <c r="O45" s="92">
        <f ca="1">IF(L45&gt;0,N45*100/L45,0)</f>
        <v>87.351692604324469</v>
      </c>
      <c r="P45" s="92">
        <f ca="1">IF(M45&gt;0,N45*100/M45,0)</f>
        <v>87.351692604324469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IFERROR(__xludf.DUMMYFUNCTION("IMPORTRANGE(""https://docs.google.com/spreadsheets/d/1Yj_ptqi66GCucihVvJfMjLAmec39IyEx_6qawtMGysU/edit?usp=sharing"",""สบก!M83"")"),726100)</f>
        <v>726100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340000</v>
      </c>
      <c r="M53" s="125">
        <f t="shared" ca="1" si="39"/>
        <v>354506</v>
      </c>
      <c r="N53" s="125">
        <f t="shared" ca="1" si="39"/>
        <v>291860.67</v>
      </c>
      <c r="O53" s="124">
        <f t="shared" ref="O53:O55" ca="1" si="40">IF(L53&gt;0,N53*100/L53,0)</f>
        <v>85.841373529411769</v>
      </c>
      <c r="P53" s="124">
        <f t="shared" ref="P53:P55" ca="1" si="41">IF(M53&gt;0,N53*100/M53,0)</f>
        <v>82.328837875804638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340000</v>
      </c>
      <c r="M55" s="125">
        <f t="shared" ca="1" si="43"/>
        <v>354506</v>
      </c>
      <c r="N55" s="125">
        <f t="shared" ca="1" si="43"/>
        <v>291860.67</v>
      </c>
      <c r="O55" s="124">
        <f t="shared" ca="1" si="40"/>
        <v>85.841373529411769</v>
      </c>
      <c r="P55" s="124">
        <f t="shared" ca="1" si="41"/>
        <v>82.328837875804638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340000</v>
      </c>
      <c r="M57" s="91">
        <f ca="1">IFERROR(__xludf.DUMMYFUNCTION("IMPORTRANGE(""https://docs.google.com/spreadsheets/d/1Yj_ptqi66GCucihVvJfMjLAmec39IyEx_6qawtMGysU/edit?usp=sharing"",""สบก!Z83"")"),354506)</f>
        <v>354506</v>
      </c>
      <c r="N57" s="91">
        <f ca="1">IFERROR(__xludf.DUMMYFUNCTION("IMPORTRANGE(""https://docs.google.com/spreadsheets/d/1Yj_ptqi66GCucihVvJfMjLAmec39IyEx_6qawtMGysU/edit?usp=sharing"",""สบก!AA83"")"),291860.67)</f>
        <v>291860.67</v>
      </c>
      <c r="O57" s="92">
        <f ca="1">IF(L57&gt;0,N57*100/L57,0)</f>
        <v>85.841373529411769</v>
      </c>
      <c r="P57" s="92">
        <f ca="1">IF(M57&gt;0,N57*100/M57,0)</f>
        <v>82.328837875804638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IFERROR(__xludf.DUMMYFUNCTION("IMPORTRANGE(""https://docs.google.com/spreadsheets/d/1Yj_ptqi66GCucihVvJfMjLAmec39IyEx_6qawtMGysU/edit?usp=sharing"",""สบก!V83"")"),340000)</f>
        <v>340000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IFERROR(__xludf.DUMMYFUNCTION("IMPORTRANGE(""https://docs.google.com/spreadsheets/d/1Yj_ptqi66GCucihVvJfMjLAmec39IyEx_6qawtMGysU/edit?usp=sharing"",""สบก!AI83"")"),0)</f>
        <v>0</v>
      </c>
      <c r="N70" s="174">
        <f ca="1">IFERROR(__xludf.DUMMYFUNCTION("IMPORTRANGE(""https://docs.google.com/spreadsheets/d/1Yj_ptqi66GCucihVvJfMjLAmec39IyEx_6qawtMGysU/edit?usp=sharing"",""สบก!AJ83"")"),0)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IFERROR(__xludf.DUMMYFUNCTION("IMPORTRANGE(""https://docs.google.com/spreadsheets/d/1IYY_tgx_IHuhSq3AJ5eI5OnqOPBNLWSHKh2a30DoXe8/edit?usp=sharing"",""ตรัง!J16"")"),0)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IFERROR(__xludf.DUMMYFUNCTION("IMPORTRANGE(""https://docs.google.com/spreadsheets/d/1IYY_tgx_IHuhSq3AJ5eI5OnqOPBNLWSHKh2a30DoXe8/edit?usp=sharing"",""ตรัง!J17"")"),0)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IFERROR(__xludf.DUMMYFUNCTION("IMPORTRANGE(""https://docs.google.com/spreadsheets/d/1IYY_tgx_IHuhSq3AJ5eI5OnqOPBNLWSHKh2a30DoXe8/edit?usp=sharing"",""ตรัง!J18"")"),0)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IFERROR(__xludf.DUMMYFUNCTION("IMPORTRANGE(""https://docs.google.com/spreadsheets/d/1IYY_tgx_IHuhSq3AJ5eI5OnqOPBNLWSHKh2a30DoXe8/edit?usp=sharing"",""ตรัง!J19"")"),0)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IFERROR(__xludf.DUMMYFUNCTION("IMPORTRANGE(""https://docs.google.com/spreadsheets/d/1IYY_tgx_IHuhSq3AJ5eI5OnqOPBNLWSHKh2a30DoXe8/edit?usp=sharing"",""ตรัง!I20"")"),0)</f>
        <v>0</v>
      </c>
      <c r="J80" s="207">
        <f ca="1">IFERROR(__xludf.DUMMYFUNCTION("IMPORTRANGE(""https://docs.google.com/spreadsheets/d/1IYY_tgx_IHuhSq3AJ5eI5OnqOPBNLWSHKh2a30DoXe8/edit?usp=sharing"",""ตรัง!J20"")"),0)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IFERROR(__xludf.DUMMYFUNCTION("IMPORTRANGE(""https://docs.google.com/spreadsheets/d/1IYY_tgx_IHuhSq3AJ5eI5OnqOPBNLWSHKh2a30DoXe8/edit?usp=sharing"",""ตรัง!I21"")"),0)</f>
        <v>0</v>
      </c>
      <c r="J81" s="207">
        <f ca="1">IFERROR(__xludf.DUMMYFUNCTION("IMPORTRANGE(""https://docs.google.com/spreadsheets/d/1IYY_tgx_IHuhSq3AJ5eI5OnqOPBNLWSHKh2a30DoXe8/edit?usp=sharing"",""ตรัง!J21"")"),0)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IFERROR(__xludf.DUMMYFUNCTION("IMPORTRANGE(""https://docs.google.com/spreadsheets/d/1IYY_tgx_IHuhSq3AJ5eI5OnqOPBNLWSHKh2a30DoXe8/edit?usp=sharing"",""ตรัง!I22"")"),0)</f>
        <v>0</v>
      </c>
      <c r="J82" s="210">
        <f ca="1">IFERROR(__xludf.DUMMYFUNCTION("IMPORTRANGE(""https://docs.google.com/spreadsheets/d/1IYY_tgx_IHuhSq3AJ5eI5OnqOPBNLWSHKh2a30DoXe8/edit?usp=sharing"",""ตรัง!J22"")"),0)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IFERROR(__xludf.DUMMYFUNCTION("IMPORTRANGE(""https://docs.google.com/spreadsheets/d/1IYY_tgx_IHuhSq3AJ5eI5OnqOPBNLWSHKh2a30DoXe8/edit?usp=sharing"",""ตรัง!I23"")"),0)</f>
        <v>0</v>
      </c>
      <c r="J83" s="210">
        <f ca="1">IFERROR(__xludf.DUMMYFUNCTION("IMPORTRANGE(""https://docs.google.com/spreadsheets/d/1IYY_tgx_IHuhSq3AJ5eI5OnqOPBNLWSHKh2a30DoXe8/edit?usp=sharing"",""ตรัง!J23"")"),0)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IFERROR(__xludf.DUMMYFUNCTION("IMPORTRANGE(""https://docs.google.com/spreadsheets/d/1IYY_tgx_IHuhSq3AJ5eI5OnqOPBNLWSHKh2a30DoXe8/edit?usp=sharing"",""ตรัง!I24"")"),0)</f>
        <v>0</v>
      </c>
      <c r="J84" s="195">
        <f ca="1">IFERROR(__xludf.DUMMYFUNCTION("IMPORTRANGE(""https://docs.google.com/spreadsheets/d/1IYY_tgx_IHuhSq3AJ5eI5OnqOPBNLWSHKh2a30DoXe8/edit?usp=sharing"",""ตรัง!J24"")"),0)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IFERROR(__xludf.DUMMYFUNCTION("IMPORTRANGE(""https://docs.google.com/spreadsheets/d/1IYY_tgx_IHuhSq3AJ5eI5OnqOPBNLWSHKh2a30DoXe8/edit?usp=sharing"",""ตรัง!I25"")"),0)</f>
        <v>0</v>
      </c>
      <c r="J85" s="195">
        <f ca="1">IFERROR(__xludf.DUMMYFUNCTION("IMPORTRANGE(""https://docs.google.com/spreadsheets/d/1IYY_tgx_IHuhSq3AJ5eI5OnqOPBNLWSHKh2a30DoXe8/edit?usp=sharing"",""ตรัง!J25"")"),0)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IFERROR(__xludf.DUMMYFUNCTION("IMPORTRANGE(""https://docs.google.com/spreadsheets/d/1IYY_tgx_IHuhSq3AJ5eI5OnqOPBNLWSHKh2a30DoXe8/edit?usp=sharing"",""ตรัง!I26"")"),0)</f>
        <v>0</v>
      </c>
      <c r="J86" s="210">
        <f ca="1">IFERROR(__xludf.DUMMYFUNCTION("IMPORTRANGE(""https://docs.google.com/spreadsheets/d/1IYY_tgx_IHuhSq3AJ5eI5OnqOPBNLWSHKh2a30DoXe8/edit?usp=sharing"",""ตรัง!J26"")"),0)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IFERROR(__xludf.DUMMYFUNCTION("IMPORTRANGE(""https://docs.google.com/spreadsheets/d/1IYY_tgx_IHuhSq3AJ5eI5OnqOPBNLWSHKh2a30DoXe8/edit?usp=sharing"",""ตรัง!I27"")"),0)</f>
        <v>0</v>
      </c>
      <c r="J87" s="210">
        <f ca="1">IFERROR(__xludf.DUMMYFUNCTION("IMPORTRANGE(""https://docs.google.com/spreadsheets/d/1IYY_tgx_IHuhSq3AJ5eI5OnqOPBNLWSHKh2a30DoXe8/edit?usp=sharing"",""ตรัง!J27"")"),0)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IFERROR(__xludf.DUMMYFUNCTION("IMPORTRANGE(""https://docs.google.com/spreadsheets/d/1IYY_tgx_IHuhSq3AJ5eI5OnqOPBNLWSHKh2a30DoXe8/edit?usp=sharing"",""ตรัง!I28"")"),0)</f>
        <v>0</v>
      </c>
      <c r="J88" s="210">
        <f ca="1">IFERROR(__xludf.DUMMYFUNCTION("IMPORTRANGE(""https://docs.google.com/spreadsheets/d/1IYY_tgx_IHuhSq3AJ5eI5OnqOPBNLWSHKh2a30DoXe8/edit?usp=sharing"",""ตรัง!J28"")"),0)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IFERROR(__xludf.DUMMYFUNCTION("IMPORTRANGE(""https://docs.google.com/spreadsheets/d/1IYY_tgx_IHuhSq3AJ5eI5OnqOPBNLWSHKh2a30DoXe8/edit?usp=sharing"",""ตรัง!J29"")"),0)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IFERROR(__xludf.DUMMYFUNCTION("IMPORTRANGE(""https://docs.google.com/spreadsheets/d/1IYY_tgx_IHuhSq3AJ5eI5OnqOPBNLWSHKh2a30DoXe8/edit?usp=sharing"",""ตรัง!J30"")"),0)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221800</v>
      </c>
      <c r="N94" s="156">
        <f t="shared" ca="1" si="52"/>
        <v>159813.16</v>
      </c>
      <c r="O94" s="155">
        <f t="shared" ref="O94:O96" ca="1" si="53">IF(L94&gt;0,N94*100/L94,0)</f>
        <v>74.504969696969695</v>
      </c>
      <c r="P94" s="155">
        <f t="shared" ref="P94:P96" ca="1" si="54">IF(M94&gt;0,N94*100/M94,0)</f>
        <v>72.052822362488726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221800</v>
      </c>
      <c r="N96" s="161">
        <f t="shared" ca="1" si="56"/>
        <v>159813.16</v>
      </c>
      <c r="O96" s="160">
        <f t="shared" ca="1" si="53"/>
        <v>74.504969696969695</v>
      </c>
      <c r="P96" s="160">
        <f t="shared" ca="1" si="54"/>
        <v>72.052822362488726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IFERROR(__xludf.DUMMYFUNCTION("IMPORTRANGE(""https://docs.google.com/spreadsheets/d/1Yj_ptqi66GCucihVvJfMjLAmec39IyEx_6qawtMGysU/edit?usp=sharing"",""สบก!AR83"")"),129400)</f>
        <v>129400</v>
      </c>
      <c r="N98" s="174">
        <f ca="1">IFERROR(__xludf.DUMMYFUNCTION("IMPORTRANGE(""https://docs.google.com/spreadsheets/d/1Yj_ptqi66GCucihVvJfMjLAmec39IyEx_6qawtMGysU/edit?usp=sharing"",""สบก!AS83"")"),67413.16)</f>
        <v>67413.16</v>
      </c>
      <c r="O98" s="175">
        <f ca="1">IF(L98&gt;0,N98*100/L98,0)</f>
        <v>55.211433251433249</v>
      </c>
      <c r="P98" s="175">
        <f ca="1">IF(M98&gt;0,N98*100/M98,0)</f>
        <v>52.096723338485319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IFERROR(__xludf.DUMMYFUNCTION("IMPORTRANGE(""https://docs.google.com/spreadsheets/d/1Yj_ptqi66GCucihVvJfMjLAmec39IyEx_6qawtMGysU/edit?usp=sharing"",""สบก!AO83"")"),122100)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IFERROR(__xludf.DUMMYFUNCTION("IMPORTRANGE(""https://docs.google.com/spreadsheets/d/1IYY_tgx_IHuhSq3AJ5eI5OnqOPBNLWSHKh2a30DoXe8/edit?usp=sharing"",""ตรัง!J39"")"),0)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IFERROR(__xludf.DUMMYFUNCTION("IMPORTRANGE(""https://docs.google.com/spreadsheets/d/1IYY_tgx_IHuhSq3AJ5eI5OnqOPBNLWSHKh2a30DoXe8/edit?usp=sharing"",""ตรัง!J40"")"),1)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IFERROR(__xludf.DUMMYFUNCTION("IMPORTRANGE(""https://docs.google.com/spreadsheets/d/1IYY_tgx_IHuhSq3AJ5eI5OnqOPBNLWSHKh2a30DoXe8/edit?usp=sharing"",""ตรัง!J41"")"),1)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IFERROR(__xludf.DUMMYFUNCTION("IMPORTRANGE(""https://docs.google.com/spreadsheets/d/1IYY_tgx_IHuhSq3AJ5eI5OnqOPBNLWSHKh2a30DoXe8/edit?usp=sharing"",""ตรัง!J42"")"),1)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IFERROR(__xludf.DUMMYFUNCTION("IMPORTRANGE(""https://docs.google.com/spreadsheets/d/1IYY_tgx_IHuhSq3AJ5eI5OnqOPBNLWSHKh2a30DoXe8/edit?usp=sharing"",""ตรัง!I43"")"),1)</f>
        <v>1</v>
      </c>
      <c r="J108" s="210">
        <f ca="1">IFERROR(__xludf.DUMMYFUNCTION("IMPORTRANGE(""https://docs.google.com/spreadsheets/d/1IYY_tgx_IHuhSq3AJ5eI5OnqOPBNLWSHKh2a30DoXe8/edit?usp=sharing"",""ตรัง!J43"")"),1)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IFERROR(__xludf.DUMMYFUNCTION("IMPORTRANGE(""https://docs.google.com/spreadsheets/d/1IYY_tgx_IHuhSq3AJ5eI5OnqOPBNLWSHKh2a30DoXe8/edit?usp=sharing"",""ตรัง!I44"")"),4)</f>
        <v>4</v>
      </c>
      <c r="J109" s="210">
        <f ca="1">IFERROR(__xludf.DUMMYFUNCTION("IMPORTRANGE(""https://docs.google.com/spreadsheets/d/1IYY_tgx_IHuhSq3AJ5eI5OnqOPBNLWSHKh2a30DoXe8/edit?usp=sharing"",""ตรัง!J44"")"),4)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IFERROR(__xludf.DUMMYFUNCTION("IMPORTRANGE(""https://docs.google.com/spreadsheets/d/1IYY_tgx_IHuhSq3AJ5eI5OnqOPBNLWSHKh2a30DoXe8/edit?usp=sharing"",""ตรัง!I45"")"),4)</f>
        <v>4</v>
      </c>
      <c r="J110" s="210">
        <f ca="1">IFERROR(__xludf.DUMMYFUNCTION("IMPORTRANGE(""https://docs.google.com/spreadsheets/d/1IYY_tgx_IHuhSq3AJ5eI5OnqOPBNLWSHKh2a30DoXe8/edit?usp=sharing"",""ตรัง!J45"")"),4)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IFERROR(__xludf.DUMMYFUNCTION("IMPORTRANGE(""https://docs.google.com/spreadsheets/d/1IYY_tgx_IHuhSq3AJ5eI5OnqOPBNLWSHKh2a30DoXe8/edit?usp=sharing"",""ตรัง!I46"")"),4)</f>
        <v>4</v>
      </c>
      <c r="J111" s="210">
        <f ca="1">IFERROR(__xludf.DUMMYFUNCTION("IMPORTRANGE(""https://docs.google.com/spreadsheets/d/1IYY_tgx_IHuhSq3AJ5eI5OnqOPBNLWSHKh2a30DoXe8/edit?usp=sharing"",""ตรัง!J46"")"),4)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IFERROR(__xludf.DUMMYFUNCTION("IMPORTRANGE(""https://docs.google.com/spreadsheets/d/1IYY_tgx_IHuhSq3AJ5eI5OnqOPBNLWSHKh2a30DoXe8/edit?usp=sharing"",""ตรัง!I47"")"),4)</f>
        <v>4</v>
      </c>
      <c r="J112" s="210">
        <f ca="1">IFERROR(__xludf.DUMMYFUNCTION("IMPORTRANGE(""https://docs.google.com/spreadsheets/d/1IYY_tgx_IHuhSq3AJ5eI5OnqOPBNLWSHKh2a30DoXe8/edit?usp=sharing"",""ตรัง!J47"")"),4)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IFERROR(__xludf.DUMMYFUNCTION("IMPORTRANGE(""https://docs.google.com/spreadsheets/d/1IYY_tgx_IHuhSq3AJ5eI5OnqOPBNLWSHKh2a30DoXe8/edit?usp=sharing"",""ตรัง!I48"")"),1)</f>
        <v>1</v>
      </c>
      <c r="J113" s="210">
        <f ca="1">IFERROR(__xludf.DUMMYFUNCTION("IMPORTRANGE(""https://docs.google.com/spreadsheets/d/1IYY_tgx_IHuhSq3AJ5eI5OnqOPBNLWSHKh2a30DoXe8/edit?usp=sharing"",""ตรัง!J48"")"),1)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IFERROR(__xludf.DUMMYFUNCTION("IMPORTRANGE(""https://docs.google.com/spreadsheets/d/1IYY_tgx_IHuhSq3AJ5eI5OnqOPBNLWSHKh2a30DoXe8/edit?usp=sharing"",""ตรัง!J49"")"),0)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IFERROR(__xludf.DUMMYFUNCTION("IMPORTRANGE(""https://docs.google.com/spreadsheets/d/1IYY_tgx_IHuhSq3AJ5eI5OnqOPBNLWSHKh2a30DoXe8/edit?usp=sharing"",""ตรัง!J50"")"),0)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IFERROR(__xludf.DUMMYFUNCTION("IMPORTRANGE(""https://docs.google.com/spreadsheets/d/1Yj_ptqi66GCucihVvJfMjLAmec39IyEx_6qawtMGysU/edit?usp=sharing"",""สบก!BA83"")"),0)</f>
        <v>0</v>
      </c>
      <c r="N122" s="174">
        <f ca="1">IFERROR(__xludf.DUMMYFUNCTION("IMPORTRANGE(""https://docs.google.com/spreadsheets/d/1Yj_ptqi66GCucihVvJfMjLAmec39IyEx_6qawtMGysU/edit?usp=sharing"",""สบก!BB83"")"),0)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IFERROR(__xludf.DUMMYFUNCTION("IMPORTRANGE(""https://docs.google.com/spreadsheets/d/1Yj_ptqi66GCucihVvJfMjLAmec39IyEx_6qawtMGysU/edit?usp=sharing"",""สบก!AX83"")"),0)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IFERROR(__xludf.DUMMYFUNCTION("IMPORTRANGE(""https://docs.google.com/spreadsheets/d/1IYY_tgx_IHuhSq3AJ5eI5OnqOPBNLWSHKh2a30DoXe8/edit?usp=sharing"",""ตรัง!J58"")"),0)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IFERROR(__xludf.DUMMYFUNCTION("IMPORTRANGE(""https://docs.google.com/spreadsheets/d/1IYY_tgx_IHuhSq3AJ5eI5OnqOPBNLWSHKh2a30DoXe8/edit?usp=sharing"",""ตรัง!J59"")"),0)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IFERROR(__xludf.DUMMYFUNCTION("IMPORTRANGE(""https://docs.google.com/spreadsheets/d/1IYY_tgx_IHuhSq3AJ5eI5OnqOPBNLWSHKh2a30DoXe8/edit?usp=sharing"",""ตรัง!J60"")"),0)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IFERROR(__xludf.DUMMYFUNCTION("IMPORTRANGE(""https://docs.google.com/spreadsheets/d/1IYY_tgx_IHuhSq3AJ5eI5OnqOPBNLWSHKh2a30DoXe8/edit?usp=sharing"",""ตรัง!J61"")"),0)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IFERROR(__xludf.DUMMYFUNCTION("IMPORTRANGE(""https://docs.google.com/spreadsheets/d/1IYY_tgx_IHuhSq3AJ5eI5OnqOPBNLWSHKh2a30DoXe8/edit?usp=sharing"",""ตรัง!I62"")"),0)</f>
        <v>0</v>
      </c>
      <c r="J132" s="210">
        <f ca="1">IFERROR(__xludf.DUMMYFUNCTION("IMPORTRANGE(""https://docs.google.com/spreadsheets/d/1IYY_tgx_IHuhSq3AJ5eI5OnqOPBNLWSHKh2a30DoXe8/edit?usp=sharing"",""ตรัง!J62"")"),0)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IFERROR(__xludf.DUMMYFUNCTION("IMPORTRANGE(""https://docs.google.com/spreadsheets/d/1IYY_tgx_IHuhSq3AJ5eI5OnqOPBNLWSHKh2a30DoXe8/edit?usp=sharing"",""ตรัง!I63"")"),0)</f>
        <v>0</v>
      </c>
      <c r="J133" s="210">
        <f ca="1">IFERROR(__xludf.DUMMYFUNCTION("IMPORTRANGE(""https://docs.google.com/spreadsheets/d/1IYY_tgx_IHuhSq3AJ5eI5OnqOPBNLWSHKh2a30DoXe8/edit?usp=sharing"",""ตรัง!J63"")"),0)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IFERROR(__xludf.DUMMYFUNCTION("IMPORTRANGE(""https://docs.google.com/spreadsheets/d/1IYY_tgx_IHuhSq3AJ5eI5OnqOPBNLWSHKh2a30DoXe8/edit?usp=sharing"",""ตรัง!J64"")"),0)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IFERROR(__xludf.DUMMYFUNCTION("IMPORTRANGE(""https://docs.google.com/spreadsheets/d/1IYY_tgx_IHuhSq3AJ5eI5OnqOPBNLWSHKh2a30DoXe8/edit?usp=sharing"",""ตรัง!J65"")"),0)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IFERROR(__xludf.DUMMYFUNCTION("IMPORTRANGE(""https://docs.google.com/spreadsheets/d/1IYY_tgx_IHuhSq3AJ5eI5OnqOPBNLWSHKh2a30DoXe8/edit?usp=sharing"",""ตรัง!I68"")"),15)</f>
        <v>15</v>
      </c>
      <c r="J138" s="273">
        <f ca="1">IFERROR(__xludf.DUMMYFUNCTION("IMPORTRANGE(""https://docs.google.com/spreadsheets/d/1IYY_tgx_IHuhSq3AJ5eI5OnqOPBNLWSHKh2a30DoXe8/edit?usp=sharing"",""ตรัง!J68"")"),15)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389400</v>
      </c>
      <c r="M140" s="156">
        <f t="shared" ca="1" si="64"/>
        <v>397400</v>
      </c>
      <c r="N140" s="156">
        <f t="shared" ca="1" si="64"/>
        <v>316889.40999999997</v>
      </c>
      <c r="O140" s="155">
        <f t="shared" ref="O140:O142" ca="1" si="65">IF(L140&gt;0,N140*100/L140,0)</f>
        <v>81.37889316897791</v>
      </c>
      <c r="P140" s="155">
        <f t="shared" ref="P140:P142" ca="1" si="66">IF(M140&gt;0,N140*100/M140,0)</f>
        <v>79.740666834423749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389400</v>
      </c>
      <c r="M142" s="161">
        <f t="shared" ca="1" si="68"/>
        <v>397400</v>
      </c>
      <c r="N142" s="161">
        <f t="shared" ca="1" si="68"/>
        <v>316889.40999999997</v>
      </c>
      <c r="O142" s="160">
        <f t="shared" ca="1" si="65"/>
        <v>81.37889316897791</v>
      </c>
      <c r="P142" s="160">
        <f t="shared" ca="1" si="66"/>
        <v>79.740666834423749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389400</v>
      </c>
      <c r="M144" s="173">
        <f ca="1">IFERROR(__xludf.DUMMYFUNCTION("IMPORTRANGE(""https://docs.google.com/spreadsheets/d/1Yj_ptqi66GCucihVvJfMjLAmec39IyEx_6qawtMGysU/edit?usp=sharing"",""สบก!BJ83"")"),397400)</f>
        <v>397400</v>
      </c>
      <c r="N144" s="174">
        <f ca="1">IFERROR(__xludf.DUMMYFUNCTION("IMPORTRANGE(""https://docs.google.com/spreadsheets/d/1Yj_ptqi66GCucihVvJfMjLAmec39IyEx_6qawtMGysU/edit?usp=sharing"",""สบก!BK83"")"),316889.41)</f>
        <v>316889.40999999997</v>
      </c>
      <c r="O144" s="175">
        <f ca="1">IF(L144&gt;0,N144*100/L144,0)</f>
        <v>81.37889316897791</v>
      </c>
      <c r="P144" s="175">
        <f ca="1">IF(M144&gt;0,N144*100/M144,0)</f>
        <v>79.740666834423749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IFERROR(__xludf.DUMMYFUNCTION("IMPORTRANGE(""https://docs.google.com/spreadsheets/d/1Yj_ptqi66GCucihVvJfMjLAmec39IyEx_6qawtMGysU/edit?usp=sharing"",""สบก!BF83"")"),331400)</f>
        <v>331400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IFERROR(__xludf.DUMMYFUNCTION("IMPORTRANGE(""https://docs.google.com/spreadsheets/d/1Yj_ptqi66GCucihVvJfMjLAmec39IyEx_6qawtMGysU/edit?usp=sharing"",""สบก!BG83"")"),58000)</f>
        <v>58000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IFERROR(__xludf.DUMMYFUNCTION("IMPORTRANGE(""https://docs.google.com/spreadsheets/d/1IYY_tgx_IHuhSq3AJ5eI5OnqOPBNLWSHKh2a30DoXe8/edit?usp=sharing"",""ตรัง!I74"")"),4)</f>
        <v>4</v>
      </c>
      <c r="J149" s="281">
        <f ca="1">IFERROR(__xludf.DUMMYFUNCTION("IMPORTRANGE(""https://docs.google.com/spreadsheets/d/1IYY_tgx_IHuhSq3AJ5eI5OnqOPBNLWSHKh2a30DoXe8/edit?usp=sharing"",""ตรัง!J74"")"),3)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IFERROR(__xludf.DUMMYFUNCTION("IMPORTRANGE(""https://docs.google.com/spreadsheets/d/1IYY_tgx_IHuhSq3AJ5eI5OnqOPBNLWSHKh2a30DoXe8/edit?usp=sharing"",""ตรัง!J79"")"),0)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IFERROR(__xludf.DUMMYFUNCTION("IMPORTRANGE(""https://docs.google.com/spreadsheets/d/1IYY_tgx_IHuhSq3AJ5eI5OnqOPBNLWSHKh2a30DoXe8/edit?usp=sharing"",""ตรัง!J80"")"),1)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IFERROR(__xludf.DUMMYFUNCTION("IMPORTRANGE(""https://docs.google.com/spreadsheets/d/1IYY_tgx_IHuhSq3AJ5eI5OnqOPBNLWSHKh2a30DoXe8/edit?usp=sharing"",""ตรัง!J81"")"),1)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IFERROR(__xludf.DUMMYFUNCTION("IMPORTRANGE(""https://docs.google.com/spreadsheets/d/1IYY_tgx_IHuhSq3AJ5eI5OnqOPBNLWSHKh2a30DoXe8/edit?usp=sharing"",""ตรัง!J82"")"),1)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IFERROR(__xludf.DUMMYFUNCTION("IMPORTRANGE(""https://docs.google.com/spreadsheets/d/1IYY_tgx_IHuhSq3AJ5eI5OnqOPBNLWSHKh2a30DoXe8/edit?usp=sharing"",""ตรัง!I83"")"),4)</f>
        <v>4</v>
      </c>
      <c r="J158" s="195">
        <f ca="1">IFERROR(__xludf.DUMMYFUNCTION("IMPORTRANGE(""https://docs.google.com/spreadsheets/d/1IYY_tgx_IHuhSq3AJ5eI5OnqOPBNLWSHKh2a30DoXe8/edit?usp=sharing"",""ตรัง!J83"")"),3)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IFERROR(__xludf.DUMMYFUNCTION("IMPORTRANGE(""https://docs.google.com/spreadsheets/d/1IYY_tgx_IHuhSq3AJ5eI5OnqOPBNLWSHKh2a30DoXe8/edit?usp=sharing"",""ตรัง!J84"")"),86)</f>
        <v>86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IFERROR(__xludf.DUMMYFUNCTION("IMPORTRANGE(""https://docs.google.com/spreadsheets/d/1IYY_tgx_IHuhSq3AJ5eI5OnqOPBNLWSHKh2a30DoXe8/edit?usp=sharing"",""ตรัง!J85"")"),86)</f>
        <v>86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IFERROR(__xludf.DUMMYFUNCTION("IMPORTRANGE(""https://docs.google.com/spreadsheets/d/1IYY_tgx_IHuhSq3AJ5eI5OnqOPBNLWSHKh2a30DoXe8/edit?usp=sharing"",""ตรัง!J86"")"),0)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IFERROR(__xludf.DUMMYFUNCTION("IMPORTRANGE(""https://docs.google.com/spreadsheets/d/1IYY_tgx_IHuhSq3AJ5eI5OnqOPBNLWSHKh2a30DoXe8/edit?usp=sharing"",""ตรัง!J87"")"),0)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IFERROR(__xludf.DUMMYFUNCTION("IMPORTRANGE(""https://docs.google.com/spreadsheets/d/1IYY_tgx_IHuhSq3AJ5eI5OnqOPBNLWSHKh2a30DoXe8/edit?usp=sharing"",""ตรัง!J88"")"),0)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IFERROR(__xludf.DUMMYFUNCTION("IMPORTRANGE(""https://docs.google.com/spreadsheets/d/1IYY_tgx_IHuhSq3AJ5eI5OnqOPBNLWSHKh2a30DoXe8/edit?usp=sharing"",""ตรัง!J94"")"),0)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IFERROR(__xludf.DUMMYFUNCTION("IMPORTRANGE(""https://docs.google.com/spreadsheets/d/1IYY_tgx_IHuhSq3AJ5eI5OnqOPBNLWSHKh2a30DoXe8/edit?usp=sharing"",""ตรัง!J95"")"),1)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IFERROR(__xludf.DUMMYFUNCTION("IMPORTRANGE(""https://docs.google.com/spreadsheets/d/1IYY_tgx_IHuhSq3AJ5eI5OnqOPBNLWSHKh2a30DoXe8/edit?usp=sharing"",""ตรัง!J96"")"),1)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IFERROR(__xludf.DUMMYFUNCTION("IMPORTRANGE(""https://docs.google.com/spreadsheets/d/1IYY_tgx_IHuhSq3AJ5eI5OnqOPBNLWSHKh2a30DoXe8/edit?usp=sharing"",""ตรัง!J97"")"),1)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IFERROR(__xludf.DUMMYFUNCTION("IMPORTRANGE(""https://docs.google.com/spreadsheets/d/1IYY_tgx_IHuhSq3AJ5eI5OnqOPBNLWSHKh2a30DoXe8/edit?usp=sharing"",""ตรัง!I98"")"),2)</f>
        <v>2</v>
      </c>
      <c r="J173" s="195">
        <f ca="1">IFERROR(__xludf.DUMMYFUNCTION("IMPORTRANGE(""https://docs.google.com/spreadsheets/d/1IYY_tgx_IHuhSq3AJ5eI5OnqOPBNLWSHKh2a30DoXe8/edit?usp=sharing"",""ตรัง!J98"")"),2)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IFERROR(__xludf.DUMMYFUNCTION("IMPORTRANGE(""https://docs.google.com/spreadsheets/d/1IYY_tgx_IHuhSq3AJ5eI5OnqOPBNLWSHKh2a30DoXe8/edit?usp=sharing"",""ตรัง!J99"")"),0)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IFERROR(__xludf.DUMMYFUNCTION("IMPORTRANGE(""https://docs.google.com/spreadsheets/d/1IYY_tgx_IHuhSq3AJ5eI5OnqOPBNLWSHKh2a30DoXe8/edit?usp=sharing"",""ตรัง!J100"")"),0)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IFERROR(__xludf.DUMMYFUNCTION("IMPORTRANGE(""https://docs.google.com/spreadsheets/d/1IYY_tgx_IHuhSq3AJ5eI5OnqOPBNLWSHKh2a30DoXe8/edit?usp=sharing"",""ตรัง!J106"")"),0)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IFERROR(__xludf.DUMMYFUNCTION("IMPORTRANGE(""https://docs.google.com/spreadsheets/d/1IYY_tgx_IHuhSq3AJ5eI5OnqOPBNLWSHKh2a30DoXe8/edit?usp=sharing"",""ตรัง!J107"")"),0)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IFERROR(__xludf.DUMMYFUNCTION("IMPORTRANGE(""https://docs.google.com/spreadsheets/d/1IYY_tgx_IHuhSq3AJ5eI5OnqOPBNLWSHKh2a30DoXe8/edit?usp=sharing"",""ตรัง!J108"")"),0)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IFERROR(__xludf.DUMMYFUNCTION("IMPORTRANGE(""https://docs.google.com/spreadsheets/d/1IYY_tgx_IHuhSq3AJ5eI5OnqOPBNLWSHKh2a30DoXe8/edit?usp=sharing"",""ตรัง!J109"")"),0)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IFERROR(__xludf.DUMMYFUNCTION("IMPORTRANGE(""https://docs.google.com/spreadsheets/d/1IYY_tgx_IHuhSq3AJ5eI5OnqOPBNLWSHKh2a30DoXe8/edit?usp=sharing"",""ตรัง!I110"")"),0)</f>
        <v>0</v>
      </c>
      <c r="J185" s="210">
        <f ca="1">IFERROR(__xludf.DUMMYFUNCTION("IMPORTRANGE(""https://docs.google.com/spreadsheets/d/1IYY_tgx_IHuhSq3AJ5eI5OnqOPBNLWSHKh2a30DoXe8/edit?usp=sharing"",""ตรัง!J110"")"),0)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IFERROR(__xludf.DUMMYFUNCTION("IMPORTRANGE(""https://docs.google.com/spreadsheets/d/1IYY_tgx_IHuhSq3AJ5eI5OnqOPBNLWSHKh2a30DoXe8/edit?usp=sharing"",""ตรัง!I111"")"),0)</f>
        <v>0</v>
      </c>
      <c r="J186" s="210">
        <f ca="1">IFERROR(__xludf.DUMMYFUNCTION("IMPORTRANGE(""https://docs.google.com/spreadsheets/d/1IYY_tgx_IHuhSq3AJ5eI5OnqOPBNLWSHKh2a30DoXe8/edit?usp=sharing"",""ตรัง!J111"")"),0)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IFERROR(__xludf.DUMMYFUNCTION("IMPORTRANGE(""https://docs.google.com/spreadsheets/d/1IYY_tgx_IHuhSq3AJ5eI5OnqOPBNLWSHKh2a30DoXe8/edit?usp=sharing"",""ตรัง!J112"")"),0)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IFERROR(__xludf.DUMMYFUNCTION("IMPORTRANGE(""https://docs.google.com/spreadsheets/d/1IYY_tgx_IHuhSq3AJ5eI5OnqOPBNLWSHKh2a30DoXe8/edit?usp=sharing"",""ตรัง!J113"")"),0)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IFERROR(__xludf.DUMMYFUNCTION("IMPORTRANGE(""https://docs.google.com/spreadsheets/d/1IYY_tgx_IHuhSq3AJ5eI5OnqOPBNLWSHKh2a30DoXe8/edit?usp=sharing"",""ตรัง!J114"")"),25000)</f>
        <v>25000</v>
      </c>
      <c r="K189" s="291">
        <f ca="1">IF(I189&gt;0,J189*100/I189,0)</f>
        <v>250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IFERROR(__xludf.DUMMYFUNCTION("IMPORTRANGE(""https://docs.google.com/spreadsheets/d/1IYY_tgx_IHuhSq3AJ5eI5OnqOPBNLWSHKh2a30DoXe8/edit?usp=sharing"",""ตรัง!J119"")"),0)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IFERROR(__xludf.DUMMYFUNCTION("IMPORTRANGE(""https://docs.google.com/spreadsheets/d/1IYY_tgx_IHuhSq3AJ5eI5OnqOPBNLWSHKh2a30DoXe8/edit?usp=sharing"",""ตรัง!J120"")"),1)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IFERROR(__xludf.DUMMYFUNCTION("IMPORTRANGE(""https://docs.google.com/spreadsheets/d/1IYY_tgx_IHuhSq3AJ5eI5OnqOPBNLWSHKh2a30DoXe8/edit?usp=sharing"",""ตรัง!J121"")"),1)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IFERROR(__xludf.DUMMYFUNCTION("IMPORTRANGE(""https://docs.google.com/spreadsheets/d/1IYY_tgx_IHuhSq3AJ5eI5OnqOPBNLWSHKh2a30DoXe8/edit?usp=sharing"",""ตรัง!J122"")"),1)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IFERROR(__xludf.DUMMYFUNCTION("IMPORTRANGE(""https://docs.google.com/spreadsheets/d/1IYY_tgx_IHuhSq3AJ5eI5OnqOPBNLWSHKh2a30DoXe8/edit?usp=sharing"",""ตรัง!I124"")"),10000)</f>
        <v>10000</v>
      </c>
      <c r="J199" s="195">
        <f ca="1">IFERROR(__xludf.DUMMYFUNCTION("IMPORTRANGE(""https://docs.google.com/spreadsheets/d/1IYY_tgx_IHuhSq3AJ5eI5OnqOPBNLWSHKh2a30DoXe8/edit?usp=sharing"",""ตรัง!J124"")"),10000)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IFERROR(__xludf.DUMMYFUNCTION("IMPORTRANGE(""https://docs.google.com/spreadsheets/d/1IYY_tgx_IHuhSq3AJ5eI5OnqOPBNLWSHKh2a30DoXe8/edit?usp=sharing"",""ตรัง!I125"")"),10000)</f>
        <v>10000</v>
      </c>
      <c r="J200" s="195">
        <f ca="1">IFERROR(__xludf.DUMMYFUNCTION("IMPORTRANGE(""https://docs.google.com/spreadsheets/d/1IYY_tgx_IHuhSq3AJ5eI5OnqOPBNLWSHKh2a30DoXe8/edit?usp=sharing"",""ตรัง!J125"")"),25000)</f>
        <v>25000</v>
      </c>
      <c r="K200" s="167">
        <f t="shared" ca="1" si="70"/>
        <v>250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IFERROR(__xludf.DUMMYFUNCTION("IMPORTRANGE(""https://docs.google.com/spreadsheets/d/1IYY_tgx_IHuhSq3AJ5eI5OnqOPBNLWSHKh2a30DoXe8/edit?usp=sharing"",""ตรัง!I126"")"),15)</f>
        <v>15</v>
      </c>
      <c r="J201" s="195">
        <f ca="1">IFERROR(__xludf.DUMMYFUNCTION("IMPORTRANGE(""https://docs.google.com/spreadsheets/d/1IYY_tgx_IHuhSq3AJ5eI5OnqOPBNLWSHKh2a30DoXe8/edit?usp=sharing"",""ตรัง!J126"")"),15)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IFERROR(__xludf.DUMMYFUNCTION("IMPORTRANGE(""https://docs.google.com/spreadsheets/d/1IYY_tgx_IHuhSq3AJ5eI5OnqOPBNLWSHKh2a30DoXe8/edit?usp=sharing"",""ตรัง!J127"")"),0)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IFERROR(__xludf.DUMMYFUNCTION("IMPORTRANGE(""https://docs.google.com/spreadsheets/d/1IYY_tgx_IHuhSq3AJ5eI5OnqOPBNLWSHKh2a30DoXe8/edit?usp=sharing"",""ตรัง!J128"")"),0)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IFERROR(__xludf.DUMMYFUNCTION("IMPORTRANGE(""https://docs.google.com/spreadsheets/d/1IYY_tgx_IHuhSq3AJ5eI5OnqOPBNLWSHKh2a30DoXe8/edit?usp=sharing"",""ตรัง!J134"")"),0)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IFERROR(__xludf.DUMMYFUNCTION("IMPORTRANGE(""https://docs.google.com/spreadsheets/d/1IYY_tgx_IHuhSq3AJ5eI5OnqOPBNLWSHKh2a30DoXe8/edit?usp=sharing"",""ตรัง!J135"")"),0)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IFERROR(__xludf.DUMMYFUNCTION("IMPORTRANGE(""https://docs.google.com/spreadsheets/d/1IYY_tgx_IHuhSq3AJ5eI5OnqOPBNLWSHKh2a30DoXe8/edit?usp=sharing"",""ตรัง!J136"")"),0)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IFERROR(__xludf.DUMMYFUNCTION("IMPORTRANGE(""https://docs.google.com/spreadsheets/d/1IYY_tgx_IHuhSq3AJ5eI5OnqOPBNLWSHKh2a30DoXe8/edit?usp=sharing"",""ตรัง!J137"")"),0)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IFERROR(__xludf.DUMMYFUNCTION("IMPORTRANGE(""https://docs.google.com/spreadsheets/d/1IYY_tgx_IHuhSq3AJ5eI5OnqOPBNLWSHKh2a30DoXe8/edit?usp=sharing"",""ตรัง!I138"")"),0)</f>
        <v>0</v>
      </c>
      <c r="J213" s="210">
        <f ca="1">IFERROR(__xludf.DUMMYFUNCTION("IMPORTRANGE(""https://docs.google.com/spreadsheets/d/1IYY_tgx_IHuhSq3AJ5eI5OnqOPBNLWSHKh2a30DoXe8/edit?usp=sharing"",""ตรัง!J138"")"),0)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IFERROR(__xludf.DUMMYFUNCTION("IMPORTRANGE(""https://docs.google.com/spreadsheets/d/1IYY_tgx_IHuhSq3AJ5eI5OnqOPBNLWSHKh2a30DoXe8/edit?usp=sharing"",""ตรัง!I140"")"),0)</f>
        <v>0</v>
      </c>
      <c r="J215" s="210">
        <f ca="1">IFERROR(__xludf.DUMMYFUNCTION("IMPORTRANGE(""https://docs.google.com/spreadsheets/d/1IYY_tgx_IHuhSq3AJ5eI5OnqOPBNLWSHKh2a30DoXe8/edit?usp=sharing"",""ตรัง!J140"")"),0)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IFERROR(__xludf.DUMMYFUNCTION("IMPORTRANGE(""https://docs.google.com/spreadsheets/d/1IYY_tgx_IHuhSq3AJ5eI5OnqOPBNLWSHKh2a30DoXe8/edit?usp=sharing"",""ตรัง!I141"")"),0)</f>
        <v>0</v>
      </c>
      <c r="J216" s="210">
        <f ca="1">IFERROR(__xludf.DUMMYFUNCTION("IMPORTRANGE(""https://docs.google.com/spreadsheets/d/1IYY_tgx_IHuhSq3AJ5eI5OnqOPBNLWSHKh2a30DoXe8/edit?usp=sharing"",""ตรัง!J141"")"),0)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IFERROR(__xludf.DUMMYFUNCTION("IMPORTRANGE(""https://docs.google.com/spreadsheets/d/1IYY_tgx_IHuhSq3AJ5eI5OnqOPBNLWSHKh2a30DoXe8/edit?usp=sharing"",""ตรัง!J142"")"),0)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IFERROR(__xludf.DUMMYFUNCTION("IMPORTRANGE(""https://docs.google.com/spreadsheets/d/1IYY_tgx_IHuhSq3AJ5eI5OnqOPBNLWSHKh2a30DoXe8/edit?usp=sharing"",""ตรัง!J143"")"),0)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IFERROR(__xludf.DUMMYFUNCTION("IMPORTRANGE(""https://docs.google.com/spreadsheets/d/1IYY_tgx_IHuhSq3AJ5eI5OnqOPBNLWSHKh2a30DoXe8/edit?usp=sharing"",""ตรัง!I144"")"),15)</f>
        <v>15</v>
      </c>
      <c r="J219" s="273">
        <f ca="1">IFERROR(__xludf.DUMMYFUNCTION("IMPORTRANGE(""https://docs.google.com/spreadsheets/d/1IYY_tgx_IHuhSq3AJ5eI5OnqOPBNLWSHKh2a30DoXe8/edit?usp=sharing"",""ตรัง!J144"")"),15)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IFERROR(__xludf.DUMMYFUNCTION("IMPORTRANGE(""https://docs.google.com/spreadsheets/d/1Yj_ptqi66GCucihVvJfMjLAmec39IyEx_6qawtMGysU/edit?usp=sharing"",""สบก!BS83"")"),21125)</f>
        <v>21125</v>
      </c>
      <c r="N224" s="174">
        <f ca="1">IFERROR(__xludf.DUMMYFUNCTION("IMPORTRANGE(""https://docs.google.com/spreadsheets/d/1Yj_ptqi66GCucihVvJfMjLAmec39IyEx_6qawtMGysU/edit?usp=sharing"",""สบก!BT83"")"),21125)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IFERROR(__xludf.DUMMYFUNCTION("IMPORTRANGE(""https://docs.google.com/spreadsheets/d/1Yj_ptqi66GCucihVvJfMjLAmec39IyEx_6qawtMGysU/edit?usp=sharing"",""สบก!BP83"")"),21125)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IFERROR(__xludf.DUMMYFUNCTION("IMPORTRANGE(""https://docs.google.com/spreadsheets/d/1IYY_tgx_IHuhSq3AJ5eI5OnqOPBNLWSHKh2a30DoXe8/edit?usp=sharing"",""ตรัง!I149"")"),15)</f>
        <v>15</v>
      </c>
      <c r="J229" s="273">
        <f ca="1">IFERROR(__xludf.DUMMYFUNCTION("IMPORTRANGE(""https://docs.google.com/spreadsheets/d/1IYY_tgx_IHuhSq3AJ5eI5OnqOPBNLWSHKh2a30DoXe8/edit?usp=sharing"",""ตรัง!J149"")"),15)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IFERROR(__xludf.DUMMYFUNCTION("IMPORTRANGE(""https://docs.google.com/spreadsheets/d/1IYY_tgx_IHuhSq3AJ5eI5OnqOPBNLWSHKh2a30DoXe8/edit?usp=sharing"",""ตรัง!J151"")"),0)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IFERROR(__xludf.DUMMYFUNCTION("IMPORTRANGE(""https://docs.google.com/spreadsheets/d/1IYY_tgx_IHuhSq3AJ5eI5OnqOPBNLWSHKh2a30DoXe8/edit?usp=sharing"",""ตรัง!J152"")"),1)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IFERROR(__xludf.DUMMYFUNCTION("IMPORTRANGE(""https://docs.google.com/spreadsheets/d/1IYY_tgx_IHuhSq3AJ5eI5OnqOPBNLWSHKh2a30DoXe8/edit?usp=sharing"",""ตรัง!J153"")"),1)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IFERROR(__xludf.DUMMYFUNCTION("IMPORTRANGE(""https://docs.google.com/spreadsheets/d/1IYY_tgx_IHuhSq3AJ5eI5OnqOPBNLWSHKh2a30DoXe8/edit?usp=sharing"",""ตรัง!J154"")"),1)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IFERROR(__xludf.DUMMYFUNCTION("IMPORTRANGE(""https://docs.google.com/spreadsheets/d/1IYY_tgx_IHuhSq3AJ5eI5OnqOPBNLWSHKh2a30DoXe8/edit?usp=sharing"",""ตรัง!I155"")"),15)</f>
        <v>15</v>
      </c>
      <c r="J235" s="195">
        <f ca="1">IFERROR(__xludf.DUMMYFUNCTION("IMPORTRANGE(""https://docs.google.com/spreadsheets/d/1IYY_tgx_IHuhSq3AJ5eI5OnqOPBNLWSHKh2a30DoXe8/edit?usp=sharing"",""ตรัง!J155"")"),15)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IFERROR(__xludf.DUMMYFUNCTION("IMPORTRANGE(""https://docs.google.com/spreadsheets/d/1IYY_tgx_IHuhSq3AJ5eI5OnqOPBNLWSHKh2a30DoXe8/edit?usp=sharing"",""ตรัง!J156"")"),0)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IFERROR(__xludf.DUMMYFUNCTION("IMPORTRANGE(""https://docs.google.com/spreadsheets/d/1IYY_tgx_IHuhSq3AJ5eI5OnqOPBNLWSHKh2a30DoXe8/edit?usp=sharing"",""ตรัง!J157"")"),0)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IFERROR(__xludf.DUMMYFUNCTION("IMPORTRANGE(""https://docs.google.com/spreadsheets/d/1IYY_tgx_IHuhSq3AJ5eI5OnqOPBNLWSHKh2a30DoXe8/edit?usp=sharing"",""ตรัง!I158"")"),0)</f>
        <v>0</v>
      </c>
      <c r="J238" s="273">
        <f ca="1">IFERROR(__xludf.DUMMYFUNCTION("IMPORTRANGE(""https://docs.google.com/spreadsheets/d/1IYY_tgx_IHuhSq3AJ5eI5OnqOPBNLWSHKh2a30DoXe8/edit?usp=sharing"",""ตรัง!J158"")"),0)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IFERROR(__xludf.DUMMYFUNCTION("IMPORTRANGE(""https://docs.google.com/spreadsheets/d/1IYY_tgx_IHuhSq3AJ5eI5OnqOPBNLWSHKh2a30DoXe8/edit?usp=sharing"",""ตรัง!J159"")"),"")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IFERROR(__xludf.DUMMYFUNCTION("IMPORTRANGE(""https://docs.google.com/spreadsheets/d/1IYY_tgx_IHuhSq3AJ5eI5OnqOPBNLWSHKh2a30DoXe8/edit?usp=sharing"",""ตรัง!J161"")"),0)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IFERROR(__xludf.DUMMYFUNCTION("IMPORTRANGE(""https://docs.google.com/spreadsheets/d/1IYY_tgx_IHuhSq3AJ5eI5OnqOPBNLWSHKh2a30DoXe8/edit?usp=sharing"",""ตรัง!J162"")"),0)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IFERROR(__xludf.DUMMYFUNCTION("IMPORTRANGE(""https://docs.google.com/spreadsheets/d/1IYY_tgx_IHuhSq3AJ5eI5OnqOPBNLWSHKh2a30DoXe8/edit?usp=sharing"",""ตรัง!J163"")"),0)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IFERROR(__xludf.DUMMYFUNCTION("IMPORTRANGE(""https://docs.google.com/spreadsheets/d/1IYY_tgx_IHuhSq3AJ5eI5OnqOPBNLWSHKh2a30DoXe8/edit?usp=sharing"",""ตรัง!I164"")"),0)</f>
        <v>0</v>
      </c>
      <c r="J244" s="194">
        <f ca="1">IFERROR(__xludf.DUMMYFUNCTION("IMPORTRANGE(""https://docs.google.com/spreadsheets/d/1IYY_tgx_IHuhSq3AJ5eI5OnqOPBNLWSHKh2a30DoXe8/edit?usp=sharing"",""ตรัง!J164"")"),0)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IFERROR(__xludf.DUMMYFUNCTION("IMPORTRANGE(""https://docs.google.com/spreadsheets/d/1IYY_tgx_IHuhSq3AJ5eI5OnqOPBNLWSHKh2a30DoXe8/edit?usp=sharing"",""ตรัง!J165"")"),0)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58701</v>
      </c>
      <c r="O250" s="155">
        <f t="shared" ref="O250:O252" ca="1" si="78">IF(L250&gt;0,N250*100/L250,0)</f>
        <v>82.214285714285708</v>
      </c>
      <c r="P250" s="155">
        <f t="shared" ref="P250:P252" ca="1" si="79">IF(M250&gt;0,N250*100/M250,0)</f>
        <v>82.214285714285708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58701</v>
      </c>
      <c r="O252" s="160">
        <f t="shared" ca="1" si="78"/>
        <v>82.214285714285708</v>
      </c>
      <c r="P252" s="160">
        <f t="shared" ca="1" si="79"/>
        <v>82.214285714285708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IFERROR(__xludf.DUMMYFUNCTION("IMPORTRANGE(""https://docs.google.com/spreadsheets/d/1Yj_ptqi66GCucihVvJfMjLAmec39IyEx_6qawtMGysU/edit?usp=sharing"",""สบก!CB83"")"),71400)</f>
        <v>71400</v>
      </c>
      <c r="N254" s="174">
        <f ca="1">IFERROR(__xludf.DUMMYFUNCTION("IMPORTRANGE(""https://docs.google.com/spreadsheets/d/1Yj_ptqi66GCucihVvJfMjLAmec39IyEx_6qawtMGysU/edit?usp=sharing"",""สบก!CC83"")"),58701)</f>
        <v>58701</v>
      </c>
      <c r="O254" s="175">
        <f ca="1">IF(L254&gt;0,N254*100/L254,0)</f>
        <v>82.214285714285708</v>
      </c>
      <c r="P254" s="175">
        <f ca="1">IF(M254&gt;0,N254*100/M254,0)</f>
        <v>82.214285714285708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IFERROR(__xludf.DUMMYFUNCTION("IMPORTRANGE(""https://docs.google.com/spreadsheets/d/1Yj_ptqi66GCucihVvJfMjLAmec39IyEx_6qawtMGysU/edit?usp=sharing"",""สบก!BY83"")"),71400)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IFERROR(__xludf.DUMMYFUNCTION("IMPORTRANGE(""https://docs.google.com/spreadsheets/d/1IYY_tgx_IHuhSq3AJ5eI5OnqOPBNLWSHKh2a30DoXe8/edit?usp=sharing"",""ตรัง!J175"")"),0)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IFERROR(__xludf.DUMMYFUNCTION("IMPORTRANGE(""https://docs.google.com/spreadsheets/d/1IYY_tgx_IHuhSq3AJ5eI5OnqOPBNLWSHKh2a30DoXe8/edit?usp=sharing"",""ตรัง!J176"")"),1)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IFERROR(__xludf.DUMMYFUNCTION("IMPORTRANGE(""https://docs.google.com/spreadsheets/d/1IYY_tgx_IHuhSq3AJ5eI5OnqOPBNLWSHKh2a30DoXe8/edit?usp=sharing"",""ตรัง!J177"")"),1)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IFERROR(__xludf.DUMMYFUNCTION("IMPORTRANGE(""https://docs.google.com/spreadsheets/d/1IYY_tgx_IHuhSq3AJ5eI5OnqOPBNLWSHKh2a30DoXe8/edit?usp=sharing"",""ตรัง!J178"")"),1)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IFERROR(__xludf.DUMMYFUNCTION("IMPORTRANGE(""https://docs.google.com/spreadsheets/d/1IYY_tgx_IHuhSq3AJ5eI5OnqOPBNLWSHKh2a30DoXe8/edit?usp=sharing"",""ตรัง!I179"")"),1)</f>
        <v>1</v>
      </c>
      <c r="J264" s="195">
        <f ca="1">IFERROR(__xludf.DUMMYFUNCTION("IMPORTRANGE(""https://docs.google.com/spreadsheets/d/1IYY_tgx_IHuhSq3AJ5eI5OnqOPBNLWSHKh2a30DoXe8/edit?usp=sharing"",""ตรัง!J179"")"),1)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IFERROR(__xludf.DUMMYFUNCTION("IMPORTRANGE(""https://docs.google.com/spreadsheets/d/1IYY_tgx_IHuhSq3AJ5eI5OnqOPBNLWSHKh2a30DoXe8/edit?usp=sharing"",""ตรัง!I180"")"),20)</f>
        <v>20</v>
      </c>
      <c r="J265" s="195">
        <f ca="1">IFERROR(__xludf.DUMMYFUNCTION("IMPORTRANGE(""https://docs.google.com/spreadsheets/d/1IYY_tgx_IHuhSq3AJ5eI5OnqOPBNLWSHKh2a30DoXe8/edit?usp=sharing"",""ตรัง!J180"")"),20)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IFERROR(__xludf.DUMMYFUNCTION("IMPORTRANGE(""https://docs.google.com/spreadsheets/d/1IYY_tgx_IHuhSq3AJ5eI5OnqOPBNLWSHKh2a30DoXe8/edit?usp=sharing"",""ตรัง!I181"")"),20)</f>
        <v>20</v>
      </c>
      <c r="J266" s="195">
        <f ca="1">IFERROR(__xludf.DUMMYFUNCTION("IMPORTRANGE(""https://docs.google.com/spreadsheets/d/1IYY_tgx_IHuhSq3AJ5eI5OnqOPBNLWSHKh2a30DoXe8/edit?usp=sharing"",""ตรัง!J181"")"),20)</f>
        <v>20</v>
      </c>
      <c r="K266" s="167">
        <f t="shared" ca="1" si="82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IFERROR(__xludf.DUMMYFUNCTION("IMPORTRANGE(""https://docs.google.com/spreadsheets/d/1IYY_tgx_IHuhSq3AJ5eI5OnqOPBNLWSHKh2a30DoXe8/edit?usp=sharing"",""ตรัง!I182"")"),1)</f>
        <v>1</v>
      </c>
      <c r="J267" s="195">
        <f ca="1">IFERROR(__xludf.DUMMYFUNCTION("IMPORTRANGE(""https://docs.google.com/spreadsheets/d/1IYY_tgx_IHuhSq3AJ5eI5OnqOPBNLWSHKh2a30DoXe8/edit?usp=sharing"",""ตรัง!J182"")"),1)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IFERROR(__xludf.DUMMYFUNCTION("IMPORTRANGE(""https://docs.google.com/spreadsheets/d/1IYY_tgx_IHuhSq3AJ5eI5OnqOPBNLWSHKh2a30DoXe8/edit?usp=sharing"",""ตรัง!J183"")"),0)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IFERROR(__xludf.DUMMYFUNCTION("IMPORTRANGE(""https://docs.google.com/spreadsheets/d/1IYY_tgx_IHuhSq3AJ5eI5OnqOPBNLWSHKh2a30DoXe8/edit?usp=sharing"",""ตรัง!J184"")"),0)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IFERROR(__xludf.DUMMYFUNCTION("IMPORTRANGE(""https://docs.google.com/spreadsheets/d/1Yj_ptqi66GCucihVvJfMjLAmec39IyEx_6qawtMGysU/edit?usp=sharing"",""สบก!CK83"")"),0)</f>
        <v>0</v>
      </c>
      <c r="N275" s="174">
        <f ca="1">IFERROR(__xludf.DUMMYFUNCTION("IMPORTRANGE(""https://docs.google.com/spreadsheets/d/1Yj_ptqi66GCucihVvJfMjLAmec39IyEx_6qawtMGysU/edit?usp=sharing"",""สบก!CL83"")"),0)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IFERROR(__xludf.DUMMYFUNCTION("IMPORTRANGE(""https://docs.google.com/spreadsheets/d/1Yj_ptqi66GCucihVvJfMjLAmec39IyEx_6qawtMGysU/edit?usp=sharing"",""สบก!CG83"")"),0)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IFERROR(__xludf.DUMMYFUNCTION("IMPORTRANGE(""https://docs.google.com/spreadsheets/d/1Yj_ptqi66GCucihVvJfMjLAmec39IyEx_6qawtMGysU/edit?usp=sharing"",""สบก!CH83"")"),0)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IFERROR(__xludf.DUMMYFUNCTION("IMPORTRANGE(""https://docs.google.com/spreadsheets/d/1IYY_tgx_IHuhSq3AJ5eI5OnqOPBNLWSHKh2a30DoXe8/edit?usp=sharing"",""ตรัง!J191"")"),0)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IFERROR(__xludf.DUMMYFUNCTION("IMPORTRANGE(""https://docs.google.com/spreadsheets/d/1IYY_tgx_IHuhSq3AJ5eI5OnqOPBNLWSHKh2a30DoXe8/edit?usp=sharing"",""ตรัง!J192"")"),0)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IFERROR(__xludf.DUMMYFUNCTION("IMPORTRANGE(""https://docs.google.com/spreadsheets/d/1IYY_tgx_IHuhSq3AJ5eI5OnqOPBNLWSHKh2a30DoXe8/edit?usp=sharing"",""ตรัง!J193"")"),0)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IFERROR(__xludf.DUMMYFUNCTION("IMPORTRANGE(""https://docs.google.com/spreadsheets/d/1IYY_tgx_IHuhSq3AJ5eI5OnqOPBNLWSHKh2a30DoXe8/edit?usp=sharing"",""ตรัง!J194"")"),0)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IFERROR(__xludf.DUMMYFUNCTION("IMPORTRANGE(""https://docs.google.com/spreadsheets/d/1IYY_tgx_IHuhSq3AJ5eI5OnqOPBNLWSHKh2a30DoXe8/edit?usp=sharing"",""ตรัง!I195"")"),0)</f>
        <v>0</v>
      </c>
      <c r="J285" s="195">
        <f ca="1">IFERROR(__xludf.DUMMYFUNCTION("IMPORTRANGE(""https://docs.google.com/spreadsheets/d/1IYY_tgx_IHuhSq3AJ5eI5OnqOPBNLWSHKh2a30DoXe8/edit?usp=sharing"",""ตรัง!J195"")"),0)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IFERROR(__xludf.DUMMYFUNCTION("IMPORTRANGE(""https://docs.google.com/spreadsheets/d/1IYY_tgx_IHuhSq3AJ5eI5OnqOPBNLWSHKh2a30DoXe8/edit?usp=sharing"",""ตรัง!J196"")"),0)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IFERROR(__xludf.DUMMYFUNCTION("IMPORTRANGE(""https://docs.google.com/spreadsheets/d/1IYY_tgx_IHuhSq3AJ5eI5OnqOPBNLWSHKh2a30DoXe8/edit?usp=sharing"",""ตรัง!J197"")"),0)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IFERROR(__xludf.DUMMYFUNCTION("IMPORTRANGE(""https://docs.google.com/spreadsheets/d/1Yj_ptqi66GCucihVvJfMjLAmec39IyEx_6qawtMGysU/edit?usp=sharing"",""สบก!CT83"")"),0)</f>
        <v>0</v>
      </c>
      <c r="N294" s="174">
        <f ca="1">IFERROR(__xludf.DUMMYFUNCTION("IMPORTRANGE(""https://docs.google.com/spreadsheets/d/1Yj_ptqi66GCucihVvJfMjLAmec39IyEx_6qawtMGysU/edit?usp=sharing"",""สบก!CU83"")"),0)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IFERROR(__xludf.DUMMYFUNCTION("IMPORTRANGE(""https://docs.google.com/spreadsheets/d/1IYY_tgx_IHuhSq3AJ5eI5OnqOPBNLWSHKh2a30DoXe8/edit?usp=sharing"",""ตรัง!J205"")"),0)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IFERROR(__xludf.DUMMYFUNCTION("IMPORTRANGE(""https://docs.google.com/spreadsheets/d/1IYY_tgx_IHuhSq3AJ5eI5OnqOPBNLWSHKh2a30DoXe8/edit?usp=sharing"",""ตรัง!J206"")"),0)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IFERROR(__xludf.DUMMYFUNCTION("IMPORTRANGE(""https://docs.google.com/spreadsheets/d/1IYY_tgx_IHuhSq3AJ5eI5OnqOPBNLWSHKh2a30DoXe8/edit?usp=sharing"",""ตรัง!J207"")"),0)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IFERROR(__xludf.DUMMYFUNCTION("IMPORTRANGE(""https://docs.google.com/spreadsheets/d/1IYY_tgx_IHuhSq3AJ5eI5OnqOPBNLWSHKh2a30DoXe8/edit?usp=sharing"",""ตรัง!J208"")"),0)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IFERROR(__xludf.DUMMYFUNCTION("IMPORTRANGE(""https://docs.google.com/spreadsheets/d/1IYY_tgx_IHuhSq3AJ5eI5OnqOPBNLWSHKh2a30DoXe8/edit?usp=sharing"",""ตรัง!I209"")"),0)</f>
        <v>0</v>
      </c>
      <c r="J304" s="210">
        <f ca="1">IFERROR(__xludf.DUMMYFUNCTION("IMPORTRANGE(""https://docs.google.com/spreadsheets/d/1IYY_tgx_IHuhSq3AJ5eI5OnqOPBNLWSHKh2a30DoXe8/edit?usp=sharing"",""ตรัง!J209"")"),0)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IFERROR(__xludf.DUMMYFUNCTION("IMPORTRANGE(""https://docs.google.com/spreadsheets/d/1IYY_tgx_IHuhSq3AJ5eI5OnqOPBNLWSHKh2a30DoXe8/edit?usp=sharing"",""ตรัง!I211"")"),0)</f>
        <v>0</v>
      </c>
      <c r="J306" s="210">
        <f ca="1">IFERROR(__xludf.DUMMYFUNCTION("IMPORTRANGE(""https://docs.google.com/spreadsheets/d/1IYY_tgx_IHuhSq3AJ5eI5OnqOPBNLWSHKh2a30DoXe8/edit?usp=sharing"",""ตรัง!J211"")"),0)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IFERROR(__xludf.DUMMYFUNCTION("IMPORTRANGE(""https://docs.google.com/spreadsheets/d/1IYY_tgx_IHuhSq3AJ5eI5OnqOPBNLWSHKh2a30DoXe8/edit?usp=sharing"",""ตรัง!J212"")"),0)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IFERROR(__xludf.DUMMYFUNCTION("IMPORTRANGE(""https://docs.google.com/spreadsheets/d/1Yj_ptqi66GCucihVvJfMjLAmec39IyEx_6qawtMGysU/edit?usp=sharing"",""สบก!DC83"")"),0)</f>
        <v>0</v>
      </c>
      <c r="N314" s="174">
        <f ca="1">IFERROR(__xludf.DUMMYFUNCTION("IMPORTRANGE(""https://docs.google.com/spreadsheets/d/1Yj_ptqi66GCucihVvJfMjLAmec39IyEx_6qawtMGysU/edit?usp=sharing"",""สบก!DD83"")"),0)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IFERROR(__xludf.DUMMYFUNCTION("IMPORTRANGE(""https://docs.google.com/spreadsheets/d/1IYY_tgx_IHuhSq3AJ5eI5OnqOPBNLWSHKh2a30DoXe8/edit?usp=sharing"",""ตรัง!J220"")"),0)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IFERROR(__xludf.DUMMYFUNCTION("IMPORTRANGE(""https://docs.google.com/spreadsheets/d/1IYY_tgx_IHuhSq3AJ5eI5OnqOPBNLWSHKh2a30DoXe8/edit?usp=sharing"",""ตรัง!J221"")"),0)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IFERROR(__xludf.DUMMYFUNCTION("IMPORTRANGE(""https://docs.google.com/spreadsheets/d/1IYY_tgx_IHuhSq3AJ5eI5OnqOPBNLWSHKh2a30DoXe8/edit?usp=sharing"",""ตรัง!J222"")"),0)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IFERROR(__xludf.DUMMYFUNCTION("IMPORTRANGE(""https://docs.google.com/spreadsheets/d/1IYY_tgx_IHuhSq3AJ5eI5OnqOPBNLWSHKh2a30DoXe8/edit?usp=sharing"",""ตรัง!J223"")"),0)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IFERROR(__xludf.DUMMYFUNCTION("IMPORTRANGE(""https://docs.google.com/spreadsheets/d/1IYY_tgx_IHuhSq3AJ5eI5OnqOPBNLWSHKh2a30DoXe8/edit?usp=sharing"",""ตรัง!I224"")"),0)</f>
        <v>0</v>
      </c>
      <c r="J324" s="210">
        <f ca="1">IFERROR(__xludf.DUMMYFUNCTION("IMPORTRANGE(""https://docs.google.com/spreadsheets/d/1IYY_tgx_IHuhSq3AJ5eI5OnqOPBNLWSHKh2a30DoXe8/edit?usp=sharing"",""ตรัง!J224"")"),0)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IFERROR(__xludf.DUMMYFUNCTION("IMPORTRANGE(""https://docs.google.com/spreadsheets/d/1IYY_tgx_IHuhSq3AJ5eI5OnqOPBNLWSHKh2a30DoXe8/edit?usp=sharing"",""ตรัง!J225"")"),0)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IFERROR(__xludf.DUMMYFUNCTION("IMPORTRANGE(""https://docs.google.com/spreadsheets/d/1IYY_tgx_IHuhSq3AJ5eI5OnqOPBNLWSHKh2a30DoXe8/edit?usp=sharing"",""ตรัง!J226"")"),0)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IFERROR(__xludf.DUMMYFUNCTION("IMPORTRANGE(""https://docs.google.com/spreadsheets/d/1IYY_tgx_IHuhSq3AJ5eI5OnqOPBNLWSHKh2a30DoXe8/edit?usp=sharing"",""ตรัง!I228"")"),263)</f>
        <v>263</v>
      </c>
      <c r="J328" s="345">
        <f ca="1">IFERROR(__xludf.DUMMYFUNCTION("IMPORTRANGE(""https://docs.google.com/spreadsheets/d/1IYY_tgx_IHuhSq3AJ5eI5OnqOPBNLWSHKh2a30DoXe8/edit?usp=sharing"",""ตรัง!J228"")"),264)</f>
        <v>264</v>
      </c>
      <c r="K328" s="323">
        <f ca="1">IF(I328&gt;0,J328*100/I328,0)</f>
        <v>100.38022813688212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900750</v>
      </c>
      <c r="M329" s="156">
        <f t="shared" ca="1" si="98"/>
        <v>1008800</v>
      </c>
      <c r="N329" s="156">
        <f t="shared" ca="1" si="98"/>
        <v>774758.51</v>
      </c>
      <c r="O329" s="155">
        <f t="shared" ref="O329:O331" ca="1" si="99">IF(L329&gt;0,N329*100/L329,0)</f>
        <v>86.012601720788226</v>
      </c>
      <c r="P329" s="155">
        <f t="shared" ref="P329:P331" ca="1" si="100">IF(M329&gt;0,N329*100/M329,0)</f>
        <v>76.800010904044413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900750</v>
      </c>
      <c r="M331" s="161">
        <f t="shared" ca="1" si="102"/>
        <v>1008800</v>
      </c>
      <c r="N331" s="161">
        <f t="shared" ca="1" si="102"/>
        <v>774758.51</v>
      </c>
      <c r="O331" s="160">
        <f t="shared" ca="1" si="99"/>
        <v>86.012601720788226</v>
      </c>
      <c r="P331" s="160">
        <f t="shared" ca="1" si="100"/>
        <v>76.800010904044413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749550</v>
      </c>
      <c r="M333" s="173">
        <f ca="1">IFERROR(__xludf.DUMMYFUNCTION("IMPORTRANGE(""https://docs.google.com/spreadsheets/d/1Yj_ptqi66GCucihVvJfMjLAmec39IyEx_6qawtMGysU/edit?usp=sharing"",""สบก!DL83"")"),857600)</f>
        <v>857600</v>
      </c>
      <c r="N333" s="174">
        <f ca="1">IFERROR(__xludf.DUMMYFUNCTION("IMPORTRANGE(""https://docs.google.com/spreadsheets/d/1Yj_ptqi66GCucihVvJfMjLAmec39IyEx_6qawtMGysU/edit?usp=sharing"",""สบก!DM83"")"),623558.51)</f>
        <v>623558.51</v>
      </c>
      <c r="O333" s="175">
        <f ca="1">IF(L333&gt;0,N333*100/L333,0)</f>
        <v>83.191049296244415</v>
      </c>
      <c r="P333" s="175">
        <f ca="1">IF(M333&gt;0,N333*100/M333,0)</f>
        <v>72.709714319029857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IFERROR(__xludf.DUMMYFUNCTION("IMPORTRANGE(""https://docs.google.com/spreadsheets/d/1Yj_ptqi66GCucihVvJfMjLAmec39IyEx_6qawtMGysU/edit?usp=sharing"",""สบก!DH83"")"),388800)</f>
        <v>388800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IFERROR(__xludf.DUMMYFUNCTION("IMPORTRANGE(""https://docs.google.com/spreadsheets/d/1Yj_ptqi66GCucihVvJfMjLAmec39IyEx_6qawtMGysU/edit?usp=sharing"",""สบก!DI83"")"),360750)</f>
        <v>360750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IFERROR(__xludf.DUMMYFUNCTION("IMPORTRANGE(""https://docs.google.com/spreadsheets/d/1IYY_tgx_IHuhSq3AJ5eI5OnqOPBNLWSHKh2a30DoXe8/edit?usp=sharing"",""ตรัง!I234"")"),0)</f>
        <v>0</v>
      </c>
      <c r="J339" s="194">
        <f ca="1">IFERROR(__xludf.DUMMYFUNCTION("IMPORTRANGE(""https://docs.google.com/spreadsheets/d/1IYY_tgx_IHuhSq3AJ5eI5OnqOPBNLWSHKh2a30DoXe8/edit?usp=sharing"",""ตรัง!J234"")"),282)</f>
        <v>282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IFERROR(__xludf.DUMMYFUNCTION("IMPORTRANGE(""https://docs.google.com/spreadsheets/d/1IYY_tgx_IHuhSq3AJ5eI5OnqOPBNLWSHKh2a30DoXe8/edit?usp=sharing"",""ตรัง!I235"")"),1840)</f>
        <v>1840</v>
      </c>
      <c r="J340" s="194">
        <f ca="1">IFERROR(__xludf.DUMMYFUNCTION("IMPORTRANGE(""https://docs.google.com/spreadsheets/d/1IYY_tgx_IHuhSq3AJ5eI5OnqOPBNLWSHKh2a30DoXe8/edit?usp=sharing"",""ตรัง!J235"")"),1806.05)</f>
        <v>1806.05</v>
      </c>
      <c r="K340" s="348">
        <f t="shared" ca="1" si="103"/>
        <v>98.154891304347828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IFERROR(__xludf.DUMMYFUNCTION("IMPORTRANGE(""https://docs.google.com/spreadsheets/d/1IYY_tgx_IHuhSq3AJ5eI5OnqOPBNLWSHKh2a30DoXe8/edit?usp=sharing"",""ตรัง!I236"")"),263)</f>
        <v>263</v>
      </c>
      <c r="J341" s="194">
        <f ca="1">IFERROR(__xludf.DUMMYFUNCTION("IMPORTRANGE(""https://docs.google.com/spreadsheets/d/1IYY_tgx_IHuhSq3AJ5eI5OnqOPBNLWSHKh2a30DoXe8/edit?usp=sharing"",""ตรัง!J236"")"),342)</f>
        <v>342</v>
      </c>
      <c r="K341" s="348">
        <f t="shared" ca="1" si="103"/>
        <v>130.0380228136882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4">
        <f ca="1">IFERROR(__xludf.DUMMYFUNCTION("IMPORTRANGE(""https://docs.google.com/spreadsheets/d/1IYY_tgx_IHuhSq3AJ5eI5OnqOPBNLWSHKh2a30DoXe8/edit?usp=sharing"",""ตรัง!J237"")"),3185.81)</f>
        <v>3185.81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IFERROR(__xludf.DUMMYFUNCTION("IMPORTRANGE(""https://docs.google.com/spreadsheets/d/1IYY_tgx_IHuhSq3AJ5eI5OnqOPBNLWSHKh2a30DoXe8/edit?usp=sharing"",""ตรัง!I238"")"),263)</f>
        <v>263</v>
      </c>
      <c r="J343" s="194">
        <f ca="1">IFERROR(__xludf.DUMMYFUNCTION("IMPORTRANGE(""https://docs.google.com/spreadsheets/d/1IYY_tgx_IHuhSq3AJ5eI5OnqOPBNLWSHKh2a30DoXe8/edit?usp=sharing"",""ตรัง!J238"")"),0)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4">
        <f ca="1">IFERROR(__xludf.DUMMYFUNCTION("IMPORTRANGE(""https://docs.google.com/spreadsheets/d/1IYY_tgx_IHuhSq3AJ5eI5OnqOPBNLWSHKh2a30DoXe8/edit?usp=sharing"",""ตรัง!J239"")"),0)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IFERROR(__xludf.DUMMYFUNCTION("IMPORTRANGE(""https://docs.google.com/spreadsheets/d/1IYY_tgx_IHuhSq3AJ5eI5OnqOPBNLWSHKh2a30DoXe8/edit?usp=sharing"",""ตรัง!I240"")"),263)</f>
        <v>263</v>
      </c>
      <c r="J345" s="194">
        <f ca="1">IFERROR(__xludf.DUMMYFUNCTION("IMPORTRANGE(""https://docs.google.com/spreadsheets/d/1IYY_tgx_IHuhSq3AJ5eI5OnqOPBNLWSHKh2a30DoXe8/edit?usp=sharing"",""ตรัง!J240"")"),264)</f>
        <v>264</v>
      </c>
      <c r="K345" s="348">
        <f t="shared" ca="1" si="103"/>
        <v>100.38022813688212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4">
        <f ca="1">IFERROR(__xludf.DUMMYFUNCTION("IMPORTRANGE(""https://docs.google.com/spreadsheets/d/1IYY_tgx_IHuhSq3AJ5eI5OnqOPBNLWSHKh2a30DoXe8/edit?usp=sharing"",""ตรัง!J241"")"),2759.54)</f>
        <v>2759.54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IFERROR(__xludf.DUMMYFUNCTION("IMPORTRANGE(""https://docs.google.com/spreadsheets/d/1IYY_tgx_IHuhSq3AJ5eI5OnqOPBNLWSHKh2a30DoXe8/edit?usp=sharing"",""ตรัง!L242"")"),1241298)</f>
        <v>1241298</v>
      </c>
      <c r="M347" s="364"/>
      <c r="N347" s="364">
        <f ca="1">IFERROR(__xludf.DUMMYFUNCTION("IMPORTRANGE(""https://docs.google.com/spreadsheets/d/1IYY_tgx_IHuhSq3AJ5eI5OnqOPBNLWSHKh2a30DoXe8/edit?usp=sharing"",""ตรัง!M242"")"),737787.049999999)</f>
        <v>737787.049999999</v>
      </c>
      <c r="O347" s="364">
        <f ca="1">+IF(L347&gt;0,N347*100/L347,0)</f>
        <v>59.436738800835812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IFERROR(__xludf.DUMMYFUNCTION("IMPORTRANGE(""https://docs.google.com/spreadsheets/d/1IYY_tgx_IHuhSq3AJ5eI5OnqOPBNLWSHKh2a30DoXe8/edit?usp=sharing"",""ตรัง!J244"")"),70)</f>
        <v>70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IFERROR(__xludf.DUMMYFUNCTION("IMPORTRANGE(""https://docs.google.com/spreadsheets/d/1IYY_tgx_IHuhSq3AJ5eI5OnqOPBNLWSHKh2a30DoXe8/edit?usp=sharing"",""ตรัง!L244"")"),274060)</f>
        <v>274060</v>
      </c>
      <c r="M349" s="379"/>
      <c r="N349" s="379">
        <f ca="1">IFERROR(__xludf.DUMMYFUNCTION("IMPORTRANGE(""https://docs.google.com/spreadsheets/d/1IYY_tgx_IHuhSq3AJ5eI5OnqOPBNLWSHKh2a30DoXe8/edit?usp=sharing"",""ตรัง!M244"")"),184040.58)</f>
        <v>184040.58</v>
      </c>
      <c r="O349" s="379">
        <f ca="1">+IF(L349&gt;0,N349*100/L349,0)</f>
        <v>67.1533897686638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IFERROR(__xludf.DUMMYFUNCTION("IMPORTRANGE(""https://docs.google.com/spreadsheets/d/1IYY_tgx_IHuhSq3AJ5eI5OnqOPBNLWSHKh2a30DoXe8/edit?usp=sharing"",""ตรัง!L246"")"),0)</f>
        <v>0</v>
      </c>
      <c r="M351" s="168"/>
      <c r="N351" s="168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IFERROR(__xludf.DUMMYFUNCTION("IMPORTRANGE(""https://docs.google.com/spreadsheets/d/1IYY_tgx_IHuhSq3AJ5eI5OnqOPBNLWSHKh2a30DoXe8/edit?usp=sharing"",""ตรัง!L247"")"),274060)</f>
        <v>274060</v>
      </c>
      <c r="M352" s="169"/>
      <c r="N352" s="168">
        <f ca="1">IFERROR(__xludf.DUMMYFUNCTION("IMPORTRANGE(""https://docs.google.com/spreadsheets/d/1IYY_tgx_IHuhSq3AJ5eI5OnqOPBNLWSHKh2a30DoXe8/edit?usp=sharing"",""ตรัง!M247"")"),184040.58)</f>
        <v>184040.58</v>
      </c>
      <c r="O352" s="169">
        <f t="shared" ca="1" si="105"/>
        <v>67.1533897686638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IFERROR(__xludf.DUMMYFUNCTION("IMPORTRANGE(""https://docs.google.com/spreadsheets/d/1IYY_tgx_IHuhSq3AJ5eI5OnqOPBNLWSHKh2a30DoXe8/edit?usp=sharing"",""ตรัง!L248"")"),0)</f>
        <v>0</v>
      </c>
      <c r="M353" s="175"/>
      <c r="N353" s="175">
        <f ca="1">IFERROR(__xludf.DUMMYFUNCTION("IMPORTRANGE(""https://docs.google.com/spreadsheets/d/1IYY_tgx_IHuhSq3AJ5eI5OnqOPBNLWSHKh2a30DoXe8/edit?usp=sharing"",""ตรัง!M248"")"),0)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IFERROR(__xludf.DUMMYFUNCTION("IMPORTRANGE(""https://docs.google.com/spreadsheets/d/1IYY_tgx_IHuhSq3AJ5eI5OnqOPBNLWSHKh2a30DoXe8/edit?usp=sharing"",""ตรัง!L249"")"),274060)</f>
        <v>274060</v>
      </c>
      <c r="M354" s="175"/>
      <c r="N354" s="172">
        <f ca="1">IFERROR(__xludf.DUMMYFUNCTION("IMPORTRANGE(""https://docs.google.com/spreadsheets/d/1IYY_tgx_IHuhSq3AJ5eI5OnqOPBNLWSHKh2a30DoXe8/edit?usp=sharing"",""ตรัง!M249"")"),184040.58)</f>
        <v>184040.58</v>
      </c>
      <c r="O354" s="175">
        <f t="shared" ca="1" si="105"/>
        <v>67.1533897686638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IFERROR(__xludf.DUMMYFUNCTION("IMPORTRANGE(""https://docs.google.com/spreadsheets/d/1IYY_tgx_IHuhSq3AJ5eI5OnqOPBNLWSHKh2a30DoXe8/edit?usp=sharing"",""ตรัง!M250"")"),33300)</f>
        <v>33300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IFERROR(__xludf.DUMMYFUNCTION("IMPORTRANGE(""https://docs.google.com/spreadsheets/d/1IYY_tgx_IHuhSq3AJ5eI5OnqOPBNLWSHKh2a30DoXe8/edit?usp=sharing"",""ตรัง!M251"")"),63670)</f>
        <v>63670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IFERROR(__xludf.DUMMYFUNCTION("IMPORTRANGE(""https://docs.google.com/spreadsheets/d/1IYY_tgx_IHuhSq3AJ5eI5OnqOPBNLWSHKh2a30DoXe8/edit?usp=sharing"",""ตรัง!M252"")"),75165)</f>
        <v>75165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IFERROR(__xludf.DUMMYFUNCTION("IMPORTRANGE(""https://docs.google.com/spreadsheets/d/1IYY_tgx_IHuhSq3AJ5eI5OnqOPBNLWSHKh2a30DoXe8/edit?usp=sharing"",""ตรัง!M253"")"),11905.58)</f>
        <v>11905.58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IFERROR(__xludf.DUMMYFUNCTION("IMPORTRANGE(""https://docs.google.com/spreadsheets/d/1IYY_tgx_IHuhSq3AJ5eI5OnqOPBNLWSHKh2a30DoXe8/edit?usp=sharing"",""ตรัง!J255"")"),0)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IFERROR(__xludf.DUMMYFUNCTION("IMPORTRANGE(""https://docs.google.com/spreadsheets/d/1IYY_tgx_IHuhSq3AJ5eI5OnqOPBNLWSHKh2a30DoXe8/edit?usp=sharing"",""ตรัง!J256"")"),1)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IFERROR(__xludf.DUMMYFUNCTION("IMPORTRANGE(""https://docs.google.com/spreadsheets/d/1IYY_tgx_IHuhSq3AJ5eI5OnqOPBNLWSHKh2a30DoXe8/edit?usp=sharing"",""ตรัง!J257"")"),1)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IFERROR(__xludf.DUMMYFUNCTION("IMPORTRANGE(""https://docs.google.com/spreadsheets/d/1IYY_tgx_IHuhSq3AJ5eI5OnqOPBNLWSHKh2a30DoXe8/edit?usp=sharing"",""ตรัง!J258"")"),1)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IFERROR(__xludf.DUMMYFUNCTION("IMPORTRANGE(""https://docs.google.com/spreadsheets/d/1IYY_tgx_IHuhSq3AJ5eI5OnqOPBNLWSHKh2a30DoXe8/edit?usp=sharing"",""ตรัง!J166"")"),0)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IFERROR(__xludf.DUMMYFUNCTION("IMPORTRANGE(""https://docs.google.com/spreadsheets/d/1IYY_tgx_IHuhSq3AJ5eI5OnqOPBNLWSHKh2a30DoXe8/edit?usp=sharing"",""ตรัง!J166"")"),0)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IFERROR(__xludf.DUMMYFUNCTION("IMPORTRANGE(""https://docs.google.com/spreadsheets/d/1IYY_tgx_IHuhSq3AJ5eI5OnqOPBNLWSHKh2a30DoXe8/edit?usp=sharing"",""ตรัง!J166"")"),0)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IFERROR(__xludf.DUMMYFUNCTION("IMPORTRANGE(""https://docs.google.com/spreadsheets/d/1IYY_tgx_IHuhSq3AJ5eI5OnqOPBNLWSHKh2a30DoXe8/edit?usp=sharing"",""ตรัง!J166"")"),0)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IFERROR(__xludf.DUMMYFUNCTION("IMPORTRANGE(""https://docs.google.com/spreadsheets/d/1IYY_tgx_IHuhSq3AJ5eI5OnqOPBNLWSHKh2a30DoXe8/edit?usp=sharing"",""ตรัง!I263"")"),25)</f>
        <v>25</v>
      </c>
      <c r="J368" s="194">
        <f ca="1">IFERROR(__xludf.DUMMYFUNCTION("IMPORTRANGE(""https://docs.google.com/spreadsheets/d/1IYY_tgx_IHuhSq3AJ5eI5OnqOPBNLWSHKh2a30DoXe8/edit?usp=sharing"",""ตรัง!J263"")"),25)</f>
        <v>25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IFERROR(__xludf.DUMMYFUNCTION("IMPORTRANGE(""https://docs.google.com/spreadsheets/d/1IYY_tgx_IHuhSq3AJ5eI5OnqOPBNLWSHKh2a30DoXe8/edit?usp=sharing"",""ตรัง!I164"")"),0)</f>
        <v>0</v>
      </c>
      <c r="J369" s="210">
        <f ca="1">IFERROR(__xludf.DUMMYFUNCTION("IMPORTRANGE(""https://docs.google.com/spreadsheets/d/1IYY_tgx_IHuhSq3AJ5eI5OnqOPBNLWSHKh2a30DoXe8/edit?usp=sharing"",""ตรัง!J164"")"),0)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IFERROR(__xludf.DUMMYFUNCTION("IMPORTRANGE(""https://docs.google.com/spreadsheets/d/1IYY_tgx_IHuhSq3AJ5eI5OnqOPBNLWSHKh2a30DoXe8/edit?usp=sharing"",""ตรัง!I265"")"),25)</f>
        <v>25</v>
      </c>
      <c r="J370" s="210">
        <f ca="1">IFERROR(__xludf.DUMMYFUNCTION("IMPORTRANGE(""https://docs.google.com/spreadsheets/d/1IYY_tgx_IHuhSq3AJ5eI5OnqOPBNLWSHKh2a30DoXe8/edit?usp=sharing"",""ตรัง!J265"")"),25)</f>
        <v>25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IFERROR(__xludf.DUMMYFUNCTION("IMPORTRANGE(""https://docs.google.com/spreadsheets/d/1IYY_tgx_IHuhSq3AJ5eI5OnqOPBNLWSHKh2a30DoXe8/edit?usp=sharing"",""ตรัง!I164"")"),0)</f>
        <v>0</v>
      </c>
      <c r="J371" s="195">
        <f ca="1">IFERROR(__xludf.DUMMYFUNCTION("IMPORTRANGE(""https://docs.google.com/spreadsheets/d/1IYY_tgx_IHuhSq3AJ5eI5OnqOPBNLWSHKh2a30DoXe8/edit?usp=sharing"",""ตรัง!J164"")"),0)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IFERROR(__xludf.DUMMYFUNCTION("IMPORTRANGE(""https://docs.google.com/spreadsheets/d/1IYY_tgx_IHuhSq3AJ5eI5OnqOPBNLWSHKh2a30DoXe8/edit?usp=sharing"",""ตรัง!I267"")"),25)</f>
        <v>25</v>
      </c>
      <c r="J372" s="195">
        <f ca="1">IFERROR(__xludf.DUMMYFUNCTION("IMPORTRANGE(""https://docs.google.com/spreadsheets/d/1IYY_tgx_IHuhSq3AJ5eI5OnqOPBNLWSHKh2a30DoXe8/edit?usp=sharing"",""ตรัง!J267"")"),25)</f>
        <v>25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IFERROR(__xludf.DUMMYFUNCTION("IMPORTRANGE(""https://docs.google.com/spreadsheets/d/1IYY_tgx_IHuhSq3AJ5eI5OnqOPBNLWSHKh2a30DoXe8/edit?usp=sharing"",""ตรัง!I164"")"),0)</f>
        <v>0</v>
      </c>
      <c r="J373" s="210">
        <f ca="1">IFERROR(__xludf.DUMMYFUNCTION("IMPORTRANGE(""https://docs.google.com/spreadsheets/d/1IYY_tgx_IHuhSq3AJ5eI5OnqOPBNLWSHKh2a30DoXe8/edit?usp=sharing"",""ตรัง!J164"")"),0)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IFERROR(__xludf.DUMMYFUNCTION("IMPORTRANGE(""https://docs.google.com/spreadsheets/d/1IYY_tgx_IHuhSq3AJ5eI5OnqOPBNLWSHKh2a30DoXe8/edit?usp=sharing"",""ตรัง!I164"")"),0)</f>
        <v>0</v>
      </c>
      <c r="J374" s="194">
        <f ca="1">IFERROR(__xludf.DUMMYFUNCTION("IMPORTRANGE(""https://docs.google.com/spreadsheets/d/1IYY_tgx_IHuhSq3AJ5eI5OnqOPBNLWSHKh2a30DoXe8/edit?usp=sharing"",""ตรัง!J164"")"),0)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IFERROR(__xludf.DUMMYFUNCTION("IMPORTRANGE(""https://docs.google.com/spreadsheets/d/1IYY_tgx_IHuhSq3AJ5eI5OnqOPBNLWSHKh2a30DoXe8/edit?usp=sharing"",""ตรัง!I270"")"),70)</f>
        <v>70</v>
      </c>
      <c r="J375" s="194">
        <f ca="1">IFERROR(__xludf.DUMMYFUNCTION("IMPORTRANGE(""https://docs.google.com/spreadsheets/d/1IYY_tgx_IHuhSq3AJ5eI5OnqOPBNLWSHKh2a30DoXe8/edit?usp=sharing"",""ตรัง!J270"")"),70)</f>
        <v>70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IFERROR(__xludf.DUMMYFUNCTION("IMPORTRANGE(""https://docs.google.com/spreadsheets/d/1IYY_tgx_IHuhSq3AJ5eI5OnqOPBNLWSHKh2a30DoXe8/edit?usp=sharing"",""ตรัง!I271"")"),0)</f>
        <v>0</v>
      </c>
      <c r="J376" s="195">
        <f ca="1">IFERROR(__xludf.DUMMYFUNCTION("IMPORTRANGE(""https://docs.google.com/spreadsheets/d/1IYY_tgx_IHuhSq3AJ5eI5OnqOPBNLWSHKh2a30DoXe8/edit?usp=sharing"",""ตรัง!J271"")"),0)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IFERROR(__xludf.DUMMYFUNCTION("IMPORTRANGE(""https://docs.google.com/spreadsheets/d/1IYY_tgx_IHuhSq3AJ5eI5OnqOPBNLWSHKh2a30DoXe8/edit?usp=sharing"",""ตรัง!I272"")"),70)</f>
        <v>70</v>
      </c>
      <c r="J377" s="210">
        <f ca="1">IFERROR(__xludf.DUMMYFUNCTION("IMPORTRANGE(""https://docs.google.com/spreadsheets/d/1IYY_tgx_IHuhSq3AJ5eI5OnqOPBNLWSHKh2a30DoXe8/edit?usp=sharing"",""ตรัง!J272"")"),70)</f>
        <v>70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IFERROR(__xludf.DUMMYFUNCTION("IMPORTRANGE(""https://docs.google.com/spreadsheets/d/1IYY_tgx_IHuhSq3AJ5eI5OnqOPBNLWSHKh2a30DoXe8/edit?usp=sharing"",""ตรัง!J273"")"),0)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IFERROR(__xludf.DUMMYFUNCTION("IMPORTRANGE(""https://docs.google.com/spreadsheets/d/1IYY_tgx_IHuhSq3AJ5eI5OnqOPBNLWSHKh2a30DoXe8/edit?usp=sharing"",""ตรัง!J274"")"),0)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IFERROR(__xludf.DUMMYFUNCTION("IMPORTRANGE(""https://docs.google.com/spreadsheets/d/1IYY_tgx_IHuhSq3AJ5eI5OnqOPBNLWSHKh2a30DoXe8/edit?usp=sharing"",""ตรัง!J275"")"),300)</f>
        <v>300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IFERROR(__xludf.DUMMYFUNCTION("IMPORTRANGE(""https://docs.google.com/spreadsheets/d/1IYY_tgx_IHuhSq3AJ5eI5OnqOPBNLWSHKh2a30DoXe8/edit?usp=sharing"",""ตรัง!M275"")"),176873.5)</f>
        <v>176873.5</v>
      </c>
      <c r="O380" s="379">
        <f ca="1">+IF(L380&gt;0,N380*100/L380,0)</f>
        <v>60.181524328002723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IFERROR(__xludf.DUMMYFUNCTION("IMPORTRANGE(""https://docs.google.com/spreadsheets/d/1IYY_tgx_IHuhSq3AJ5eI5OnqOPBNLWSHKh2a30DoXe8/edit?usp=sharing"",""ตรัง!L277"")"),0)</f>
        <v>0</v>
      </c>
      <c r="M382" s="168"/>
      <c r="N382" s="168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IFERROR(__xludf.DUMMYFUNCTION("IMPORTRANGE(""https://docs.google.com/spreadsheets/d/1IYY_tgx_IHuhSq3AJ5eI5OnqOPBNLWSHKh2a30DoXe8/edit?usp=sharing"",""ตรัง!M278"")"),176873.5)</f>
        <v>176873.5</v>
      </c>
      <c r="O383" s="169">
        <f t="shared" ca="1" si="109"/>
        <v>60.181524328002723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IFERROR(__xludf.DUMMYFUNCTION("IMPORTRANGE(""https://docs.google.com/spreadsheets/d/1IYY_tgx_IHuhSq3AJ5eI5OnqOPBNLWSHKh2a30DoXe8/edit?usp=sharing"",""ตรัง!L279"")"),0)</f>
        <v>0</v>
      </c>
      <c r="M384" s="175"/>
      <c r="N384" s="175">
        <f ca="1">IFERROR(__xludf.DUMMYFUNCTION("IMPORTRANGE(""https://docs.google.com/spreadsheets/d/1IYY_tgx_IHuhSq3AJ5eI5OnqOPBNLWSHKh2a30DoXe8/edit?usp=sharing"",""ตรัง!M279"")"),0)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IFERROR(__xludf.DUMMYFUNCTION("IMPORTRANGE(""https://docs.google.com/spreadsheets/d/1IYY_tgx_IHuhSq3AJ5eI5OnqOPBNLWSHKh2a30DoXe8/edit?usp=sharing"",""ตรัง!L280"")"),293900)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IFERROR(__xludf.DUMMYFUNCTION("IMPORTRANGE(""https://docs.google.com/spreadsheets/d/1IYY_tgx_IHuhSq3AJ5eI5OnqOPBNLWSHKh2a30DoXe8/edit?usp=sharing"",""ตรัง!M280"")"),176873.5)</f>
        <v>176873.5</v>
      </c>
      <c r="O385" s="175">
        <f t="shared" ca="1" si="109"/>
        <v>60.181524328002723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IFERROR(__xludf.DUMMYFUNCTION("IMPORTRANGE(""https://docs.google.com/spreadsheets/d/1IYY_tgx_IHuhSq3AJ5eI5OnqOPBNLWSHKh2a30DoXe8/edit?usp=sharing"",""ตรัง!M281"")"),76200)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IFERROR(__xludf.DUMMYFUNCTION("IMPORTRANGE(""https://docs.google.com/spreadsheets/d/1IYY_tgx_IHuhSq3AJ5eI5OnqOPBNLWSHKh2a30DoXe8/edit?usp=sharing"",""ตรัง!M282"")"),82350)</f>
        <v>82350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IFERROR(__xludf.DUMMYFUNCTION("IMPORTRANGE(""https://docs.google.com/spreadsheets/d/1IYY_tgx_IHuhSq3AJ5eI5OnqOPBNLWSHKh2a30DoXe8/edit?usp=sharing"",""ตรัง!M284"")"),18323.5)</f>
        <v>18323.5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IFERROR(__xludf.DUMMYFUNCTION("IMPORTRANGE(""https://docs.google.com/spreadsheets/d/1IYY_tgx_IHuhSq3AJ5eI5OnqOPBNLWSHKh2a30DoXe8/edit?usp=sharing"",""ตรัง!J286"")"),0)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IFERROR(__xludf.DUMMYFUNCTION("IMPORTRANGE(""https://docs.google.com/spreadsheets/d/1IYY_tgx_IHuhSq3AJ5eI5OnqOPBNLWSHKh2a30DoXe8/edit?usp=sharing"",""ตรัง!J287"")"),1)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IFERROR(__xludf.DUMMYFUNCTION("IMPORTRANGE(""https://docs.google.com/spreadsheets/d/1IYY_tgx_IHuhSq3AJ5eI5OnqOPBNLWSHKh2a30DoXe8/edit?usp=sharing"",""ตรัง!J288"")"),1)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IFERROR(__xludf.DUMMYFUNCTION("IMPORTRANGE(""https://docs.google.com/spreadsheets/d/1IYY_tgx_IHuhSq3AJ5eI5OnqOPBNLWSHKh2a30DoXe8/edit?usp=sharing"",""ตรัง!J289"")"),1)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IFERROR(__xludf.DUMMYFUNCTION("IMPORTRANGE(""https://docs.google.com/spreadsheets/d/1IYY_tgx_IHuhSq3AJ5eI5OnqOPBNLWSHKh2a30DoXe8/edit?usp=sharing"",""ตรัง!I291"")"),30)</f>
        <v>30</v>
      </c>
      <c r="J396" s="204">
        <f ca="1">IFERROR(__xludf.DUMMYFUNCTION("IMPORTRANGE(""https://docs.google.com/spreadsheets/d/1IYY_tgx_IHuhSq3AJ5eI5OnqOPBNLWSHKh2a30DoXe8/edit?usp=sharing"",""ตรัง!J291"")"),30)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IFERROR(__xludf.DUMMYFUNCTION("IMPORTRANGE(""https://docs.google.com/spreadsheets/d/1IYY_tgx_IHuhSq3AJ5eI5OnqOPBNLWSHKh2a30DoXe8/edit?usp=sharing"",""ตรัง!I292"")"),300)</f>
        <v>300</v>
      </c>
      <c r="J397" s="204">
        <f ca="1">IFERROR(__xludf.DUMMYFUNCTION("IMPORTRANGE(""https://docs.google.com/spreadsheets/d/1IYY_tgx_IHuhSq3AJ5eI5OnqOPBNLWSHKh2a30DoXe8/edit?usp=sharing"",""ตรัง!J292"")"),300)</f>
        <v>300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IFERROR(__xludf.DUMMYFUNCTION("IMPORTRANGE(""https://docs.google.com/spreadsheets/d/1IYY_tgx_IHuhSq3AJ5eI5OnqOPBNLWSHKh2a30DoXe8/edit?usp=sharing"",""ตรัง!I293"")"),30)</f>
        <v>30</v>
      </c>
      <c r="J398" s="204">
        <f ca="1">IFERROR(__xludf.DUMMYFUNCTION("IMPORTRANGE(""https://docs.google.com/spreadsheets/d/1IYY_tgx_IHuhSq3AJ5eI5OnqOPBNLWSHKh2a30DoXe8/edit?usp=sharing"",""ตรัง!J293"")"),30)</f>
        <v>30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IFERROR(__xludf.DUMMYFUNCTION("IMPORTRANGE(""https://docs.google.com/spreadsheets/d/1IYY_tgx_IHuhSq3AJ5eI5OnqOPBNLWSHKh2a30DoXe8/edit?usp=sharing"",""ตรัง!J294"")"),0)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IFERROR(__xludf.DUMMYFUNCTION("IMPORTRANGE(""https://docs.google.com/spreadsheets/d/1IYY_tgx_IHuhSq3AJ5eI5OnqOPBNLWSHKh2a30DoXe8/edit?usp=sharing"",""ตรัง!J295"")"),0)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IFERROR(__xludf.DUMMYFUNCTION("IMPORTRANGE(""https://docs.google.com/spreadsheets/d/1IYY_tgx_IHuhSq3AJ5eI5OnqOPBNLWSHKh2a30DoXe8/edit?usp=sharing"",""ตรัง!M296"")"),107529.84)</f>
        <v>107529.84</v>
      </c>
      <c r="O401" s="379">
        <f ca="1">+IF(L401&gt;0,N401*100/L401,0)</f>
        <v>81.579424929823233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IFERROR(__xludf.DUMMYFUNCTION("IMPORTRANGE(""https://docs.google.com/spreadsheets/d/1IYY_tgx_IHuhSq3AJ5eI5OnqOPBNLWSHKh2a30DoXe8/edit?usp=sharing"",""ตรัง!L298"")"),0)</f>
        <v>0</v>
      </c>
      <c r="M403" s="168"/>
      <c r="N403" s="175">
        <f ca="1">IFERROR(__xludf.DUMMYFUNCTION("IMPORTRANGE(""https://docs.google.com/spreadsheets/d/1IYY_tgx_IHuhSq3AJ5eI5OnqOPBNLWSHKh2a30DoXe8/edit?usp=sharing"",""ตรัง!M298"")"),0)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5">
        <f ca="1">IFERROR(__xludf.DUMMYFUNCTION("IMPORTRANGE(""https://docs.google.com/spreadsheets/d/1IYY_tgx_IHuhSq3AJ5eI5OnqOPBNLWSHKh2a30DoXe8/edit?usp=sharing"",""ตรัง!M299"")"),107529.84)</f>
        <v>107529.84</v>
      </c>
      <c r="O404" s="175">
        <f t="shared" ca="1" si="112"/>
        <v>81.579424929823233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IFERROR(__xludf.DUMMYFUNCTION("IMPORTRANGE(""https://docs.google.com/spreadsheets/d/1IYY_tgx_IHuhSq3AJ5eI5OnqOPBNLWSHKh2a30DoXe8/edit?usp=sharing"",""ตรัง!L300"")"),0)</f>
        <v>0</v>
      </c>
      <c r="M405" s="175"/>
      <c r="N405" s="175">
        <f ca="1">IFERROR(__xludf.DUMMYFUNCTION("IMPORTRANGE(""https://docs.google.com/spreadsheets/d/1IYY_tgx_IHuhSq3AJ5eI5OnqOPBNLWSHKh2a30DoXe8/edit?usp=sharing"",""ตรัง!M300"")"),0)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IFERROR(__xludf.DUMMYFUNCTION("IMPORTRANGE(""https://docs.google.com/spreadsheets/d/1IYY_tgx_IHuhSq3AJ5eI5OnqOPBNLWSHKh2a30DoXe8/edit?usp=sharing"",""ตรัง!L301"")"),131810)</f>
        <v>131810</v>
      </c>
      <c r="M406" s="175"/>
      <c r="N406" s="175">
        <f ca="1">IFERROR(__xludf.DUMMYFUNCTION("IMPORTRANGE(""https://docs.google.com/spreadsheets/d/1IYY_tgx_IHuhSq3AJ5eI5OnqOPBNLWSHKh2a30DoXe8/edit?usp=sharing"",""ตรัง!M301"")"),107529.84)</f>
        <v>107529.84</v>
      </c>
      <c r="O406" s="175">
        <f t="shared" ca="1" si="112"/>
        <v>81.579424929823233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IFERROR(__xludf.DUMMYFUNCTION("IMPORTRANGE(""https://docs.google.com/spreadsheets/d/1IYY_tgx_IHuhSq3AJ5eI5OnqOPBNLWSHKh2a30DoXe8/edit?usp=sharing"",""ตรัง!M302"")"),76399.08)</f>
        <v>76399.08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IFERROR(__xludf.DUMMYFUNCTION("IMPORTRANGE(""https://docs.google.com/spreadsheets/d/1IYY_tgx_IHuhSq3AJ5eI5OnqOPBNLWSHKh2a30DoXe8/edit?usp=sharing"",""ตรัง!M303"")"),25470)</f>
        <v>25470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IFERROR(__xludf.DUMMYFUNCTION("IMPORTRANGE(""https://docs.google.com/spreadsheets/d/1IYY_tgx_IHuhSq3AJ5eI5OnqOPBNLWSHKh2a30DoXe8/edit?usp=sharing"",""ตรัง!M305"")"),5660.76)</f>
        <v>5660.76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IFERROR(__xludf.DUMMYFUNCTION("IMPORTRANGE(""https://docs.google.com/spreadsheets/d/1IYY_tgx_IHuhSq3AJ5eI5OnqOPBNLWSHKh2a30DoXe8/edit?usp=sharing"",""ตรัง!J307"")"),0)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IFERROR(__xludf.DUMMYFUNCTION("IMPORTRANGE(""https://docs.google.com/spreadsheets/d/1IYY_tgx_IHuhSq3AJ5eI5OnqOPBNLWSHKh2a30DoXe8/edit?usp=sharing"",""ตรัง!J308"")"),1)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IFERROR(__xludf.DUMMYFUNCTION("IMPORTRANGE(""https://docs.google.com/spreadsheets/d/1IYY_tgx_IHuhSq3AJ5eI5OnqOPBNLWSHKh2a30DoXe8/edit?usp=sharing"",""ตรัง!J309"")"),1)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IFERROR(__xludf.DUMMYFUNCTION("IMPORTRANGE(""https://docs.google.com/spreadsheets/d/1IYY_tgx_IHuhSq3AJ5eI5OnqOPBNLWSHKh2a30DoXe8/edit?usp=sharing"",""ตรัง!J310"")"),1)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IFERROR(__xludf.DUMMYFUNCTION("IMPORTRANGE(""https://docs.google.com/spreadsheets/d/1IYY_tgx_IHuhSq3AJ5eI5OnqOPBNLWSHKh2a30DoXe8/edit?usp=sharing"",""ตรัง!I311"")"),35)</f>
        <v>35</v>
      </c>
      <c r="J416" s="207">
        <f ca="1">IFERROR(__xludf.DUMMYFUNCTION("IMPORTRANGE(""https://docs.google.com/spreadsheets/d/1IYY_tgx_IHuhSq3AJ5eI5OnqOPBNLWSHKh2a30DoXe8/edit?usp=sharing"",""ตรัง!J311"")"),35)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IFERROR(__xludf.DUMMYFUNCTION("IMPORTRANGE(""https://docs.google.com/spreadsheets/d/1IYY_tgx_IHuhSq3AJ5eI5OnqOPBNLWSHKh2a30DoXe8/edit?usp=sharing"",""ตรัง!J328"")"),0)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IFERROR(__xludf.DUMMYFUNCTION("IMPORTRANGE(""https://docs.google.com/spreadsheets/d/1IYY_tgx_IHuhSq3AJ5eI5OnqOPBNLWSHKh2a30DoXe8/edit?usp=sharing"",""ตรัง!J329"")"),0)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IFERROR(__xludf.DUMMYFUNCTION("IMPORTRANGE(""https://docs.google.com/spreadsheets/d/1IYY_tgx_IHuhSq3AJ5eI5OnqOPBNLWSHKh2a30DoXe8/edit?usp=sharing"",""ตรัง!M330"")"),57399.2299999999)</f>
        <v>57399.229999999901</v>
      </c>
      <c r="O435" s="418">
        <f t="shared" ref="O435:O439" ca="1" si="114">+IF(L435&gt;0,N435*100/L435,0)</f>
        <v>65.226397727272612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IFERROR(__xludf.DUMMYFUNCTION("IMPORTRANGE(""https://docs.google.com/spreadsheets/d/1IYY_tgx_IHuhSq3AJ5eI5OnqOPBNLWSHKh2a30DoXe8/edit?usp=sharing"",""ตรัง!L331"")"),0)</f>
        <v>0</v>
      </c>
      <c r="M436" s="168"/>
      <c r="N436" s="175">
        <f ca="1">IFERROR(__xludf.DUMMYFUNCTION("IMPORTRANGE(""https://docs.google.com/spreadsheets/d/1IYY_tgx_IHuhSq3AJ5eI5OnqOPBNLWSHKh2a30DoXe8/edit?usp=sharing"",""ตรัง!M331"")"),0)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IFERROR(__xludf.DUMMYFUNCTION("IMPORTRANGE(""https://docs.google.com/spreadsheets/d/1IYY_tgx_IHuhSq3AJ5eI5OnqOPBNLWSHKh2a30DoXe8/edit?usp=sharing"",""ตรัง!L332"")"),88000)</f>
        <v>88000</v>
      </c>
      <c r="M437" s="169"/>
      <c r="N437" s="175">
        <f ca="1">IFERROR(__xludf.DUMMYFUNCTION("IMPORTRANGE(""https://docs.google.com/spreadsheets/d/1IYY_tgx_IHuhSq3AJ5eI5OnqOPBNLWSHKh2a30DoXe8/edit?usp=sharing"",""ตรัง!M332"")"),57399.2299999999)</f>
        <v>57399.229999999901</v>
      </c>
      <c r="O437" s="175">
        <f t="shared" ca="1" si="114"/>
        <v>65.226397727272612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IFERROR(__xludf.DUMMYFUNCTION("IMPORTRANGE(""https://docs.google.com/spreadsheets/d/1IYY_tgx_IHuhSq3AJ5eI5OnqOPBNLWSHKh2a30DoXe8/edit?usp=sharing"",""ตรัง!L333"")"),0)</f>
        <v>0</v>
      </c>
      <c r="M438" s="175"/>
      <c r="N438" s="175">
        <f ca="1">IFERROR(__xludf.DUMMYFUNCTION("IMPORTRANGE(""https://docs.google.com/spreadsheets/d/1IYY_tgx_IHuhSq3AJ5eI5OnqOPBNLWSHKh2a30DoXe8/edit?usp=sharing"",""ตรัง!M333"")"),0)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IFERROR(__xludf.DUMMYFUNCTION("IMPORTRANGE(""https://docs.google.com/spreadsheets/d/1IYY_tgx_IHuhSq3AJ5eI5OnqOPBNLWSHKh2a30DoXe8/edit?usp=sharing"",""ตรัง!L334"")"),88000)</f>
        <v>88000</v>
      </c>
      <c r="M439" s="175"/>
      <c r="N439" s="175">
        <f ca="1">IFERROR(__xludf.DUMMYFUNCTION("IMPORTRANGE(""https://docs.google.com/spreadsheets/d/1IYY_tgx_IHuhSq3AJ5eI5OnqOPBNLWSHKh2a30DoXe8/edit?usp=sharing"",""ตรัง!M334"")"),57399.2299999999)</f>
        <v>57399.229999999901</v>
      </c>
      <c r="O439" s="175">
        <f t="shared" ca="1" si="114"/>
        <v>65.226397727272612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IFERROR(__xludf.DUMMYFUNCTION("IMPORTRANGE(""https://docs.google.com/spreadsheets/d/1IYY_tgx_IHuhSq3AJ5eI5OnqOPBNLWSHKh2a30DoXe8/edit?usp=sharing"",""ตรัง!M335"")"),37126.25)</f>
        <v>37126.25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IFERROR(__xludf.DUMMYFUNCTION("IMPORTRANGE(""https://docs.google.com/spreadsheets/d/1IYY_tgx_IHuhSq3AJ5eI5OnqOPBNLWSHKh2a30DoXe8/edit?usp=sharing"",""ตรัง!M338"")"),20272.98)</f>
        <v>20272.98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IFERROR(__xludf.DUMMYFUNCTION("IMPORTRANGE(""https://docs.google.com/spreadsheets/d/1IYY_tgx_IHuhSq3AJ5eI5OnqOPBNLWSHKh2a30DoXe8/edit?usp=sharing"",""ตรัง!J340"")"),0)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IFERROR(__xludf.DUMMYFUNCTION("IMPORTRANGE(""https://docs.google.com/spreadsheets/d/1IYY_tgx_IHuhSq3AJ5eI5OnqOPBNLWSHKh2a30DoXe8/edit?usp=sharing"",""ตรัง!J341"")"),1)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IFERROR(__xludf.DUMMYFUNCTION("IMPORTRANGE(""https://docs.google.com/spreadsheets/d/1IYY_tgx_IHuhSq3AJ5eI5OnqOPBNLWSHKh2a30DoXe8/edit?usp=sharing"",""ตรัง!J342"")"),1)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IFERROR(__xludf.DUMMYFUNCTION("IMPORTRANGE(""https://docs.google.com/spreadsheets/d/1IYY_tgx_IHuhSq3AJ5eI5OnqOPBNLWSHKh2a30DoXe8/edit?usp=sharing"",""ตรัง!J343"")"),1)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7">
        <f ca="1">IFERROR(__xludf.DUMMYFUNCTION("IMPORTRANGE(""https://docs.google.com/spreadsheets/d/1IYY_tgx_IHuhSq3AJ5eI5OnqOPBNLWSHKh2a30DoXe8/edit?usp=sharing"",""ตรัง!J344"")"),15)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5">
        <f ca="1">IFERROR(__xludf.DUMMYFUNCTION("IMPORTRANGE(""https://docs.google.com/spreadsheets/d/1IYY_tgx_IHuhSq3AJ5eI5OnqOPBNLWSHKh2a30DoXe8/edit?usp=sharing"",""ตรัง!J345"")"),15)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4">
        <f ca="1">IFERROR(__xludf.DUMMYFUNCTION("IMPORTRANGE(""https://docs.google.com/spreadsheets/d/1IYY_tgx_IHuhSq3AJ5eI5OnqOPBNLWSHKh2a30DoXe8/edit?usp=sharing"",""ตรัง!J346"")"),0)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IFERROR(__xludf.DUMMYFUNCTION("IMPORTRANGE(""https://docs.google.com/spreadsheets/d/1IYY_tgx_IHuhSq3AJ5eI5OnqOPBNLWSHKh2a30DoXe8/edit?usp=sharing"",""ตรัง!I347"")"),0)</f>
        <v>0</v>
      </c>
      <c r="J452" s="194">
        <f ca="1">IFERROR(__xludf.DUMMYFUNCTION("IMPORTRANGE(""https://docs.google.com/spreadsheets/d/1IYY_tgx_IHuhSq3AJ5eI5OnqOPBNLWSHKh2a30DoXe8/edit?usp=sharing"",""ตรัง!J347"")"),0)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IFERROR(__xludf.DUMMYFUNCTION("IMPORTRANGE(""https://docs.google.com/spreadsheets/d/1IYY_tgx_IHuhSq3AJ5eI5OnqOPBNLWSHKh2a30DoXe8/edit?usp=sharing"",""ตรัง!J348"")"),0)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IFERROR(__xludf.DUMMYFUNCTION("IMPORTRANGE(""https://docs.google.com/spreadsheets/d/1IYY_tgx_IHuhSq3AJ5eI5OnqOPBNLWSHKh2a30DoXe8/edit?usp=sharing"",""ตรัง!J349"")"),0)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IFERROR(__xludf.DUMMYFUNCTION("IMPORTRANGE(""https://docs.google.com/spreadsheets/d/1IYY_tgx_IHuhSq3AJ5eI5OnqOPBNLWSHKh2a30DoXe8/edit?usp=sharing"",""ตรัง!L350"")"),284718)</f>
        <v>284718</v>
      </c>
      <c r="M455" s="379"/>
      <c r="N455" s="379">
        <f ca="1">IFERROR(__xludf.DUMMYFUNCTION("IMPORTRANGE(""https://docs.google.com/spreadsheets/d/1IYY_tgx_IHuhSq3AJ5eI5OnqOPBNLWSHKh2a30DoXe8/edit?usp=sharing"",""ตรัง!M350"")"),69009.98)</f>
        <v>69009.98</v>
      </c>
      <c r="O455" s="379">
        <f t="shared" ref="O455:O459" ca="1" si="116">+IF(L455&gt;0,N455*100/L455,0)</f>
        <v>24.238010944162294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IFERROR(__xludf.DUMMYFUNCTION("IMPORTRANGE(""https://docs.google.com/spreadsheets/d/1IYY_tgx_IHuhSq3AJ5eI5OnqOPBNLWSHKh2a30DoXe8/edit?usp=sharing"",""ตรัง!L351"")"),0)</f>
        <v>0</v>
      </c>
      <c r="M456" s="168"/>
      <c r="N456" s="175">
        <f ca="1">IFERROR(__xludf.DUMMYFUNCTION("IMPORTRANGE(""https://docs.google.com/spreadsheets/d/1IYY_tgx_IHuhSq3AJ5eI5OnqOPBNLWSHKh2a30DoXe8/edit?usp=sharing"",""ตรัง!M351"")"),0)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IFERROR(__xludf.DUMMYFUNCTION("IMPORTRANGE(""https://docs.google.com/spreadsheets/d/1IYY_tgx_IHuhSq3AJ5eI5OnqOPBNLWSHKh2a30DoXe8/edit?usp=sharing"",""ตรัง!L352"")"),284718)</f>
        <v>284718</v>
      </c>
      <c r="M457" s="169"/>
      <c r="N457" s="175">
        <f ca="1">IFERROR(__xludf.DUMMYFUNCTION("IMPORTRANGE(""https://docs.google.com/spreadsheets/d/1IYY_tgx_IHuhSq3AJ5eI5OnqOPBNLWSHKh2a30DoXe8/edit?usp=sharing"",""ตรัง!M352"")"),69009.98)</f>
        <v>69009.98</v>
      </c>
      <c r="O457" s="175">
        <f t="shared" ca="1" si="116"/>
        <v>24.238010944162294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IFERROR(__xludf.DUMMYFUNCTION("IMPORTRANGE(""https://docs.google.com/spreadsheets/d/1IYY_tgx_IHuhSq3AJ5eI5OnqOPBNLWSHKh2a30DoXe8/edit?usp=sharing"",""ตรัง!L353"")"),0)</f>
        <v>0</v>
      </c>
      <c r="M458" s="175"/>
      <c r="N458" s="175">
        <f ca="1">IFERROR(__xludf.DUMMYFUNCTION("IMPORTRANGE(""https://docs.google.com/spreadsheets/d/1IYY_tgx_IHuhSq3AJ5eI5OnqOPBNLWSHKh2a30DoXe8/edit?usp=sharing"",""ตรัง!M353"")"),0)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IFERROR(__xludf.DUMMYFUNCTION("IMPORTRANGE(""https://docs.google.com/spreadsheets/d/1IYY_tgx_IHuhSq3AJ5eI5OnqOPBNLWSHKh2a30DoXe8/edit?usp=sharing"",""ตรัง!L354"")"),284718)</f>
        <v>284718</v>
      </c>
      <c r="M459" s="175"/>
      <c r="N459" s="175">
        <f ca="1">IFERROR(__xludf.DUMMYFUNCTION("IMPORTRANGE(""https://docs.google.com/spreadsheets/d/1IYY_tgx_IHuhSq3AJ5eI5OnqOPBNLWSHKh2a30DoXe8/edit?usp=sharing"",""ตรัง!M354"")"),69009.98)</f>
        <v>69009.98</v>
      </c>
      <c r="O459" s="175">
        <f t="shared" ca="1" si="116"/>
        <v>24.238010944162294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IFERROR(__xludf.DUMMYFUNCTION("IMPORTRANGE(""https://docs.google.com/spreadsheets/d/1IYY_tgx_IHuhSq3AJ5eI5OnqOPBNLWSHKh2a30DoXe8/edit?usp=sharing"",""ตรัง!M355"")"),0)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IFERROR(__xludf.DUMMYFUNCTION("IMPORTRANGE(""https://docs.google.com/spreadsheets/d/1IYY_tgx_IHuhSq3AJ5eI5OnqOPBNLWSHKh2a30DoXe8/edit?usp=sharing"",""ตรัง!M356"")"),0)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IFERROR(__xludf.DUMMYFUNCTION("IMPORTRANGE(""https://docs.google.com/spreadsheets/d/1IYY_tgx_IHuhSq3AJ5eI5OnqOPBNLWSHKh2a30DoXe8/edit?usp=sharing"",""ตรัง!M358"")"),69009.98)</f>
        <v>69009.98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IFERROR(__xludf.DUMMYFUNCTION("IMPORTRANGE(""https://docs.google.com/spreadsheets/d/1IYY_tgx_IHuhSq3AJ5eI5OnqOPBNLWSHKh2a30DoXe8/edit?usp=sharing"",""ตรัง!I359"")"),39755)</f>
        <v>39755</v>
      </c>
      <c r="J464" s="273">
        <f ca="1">IFERROR(__xludf.DUMMYFUNCTION("IMPORTRANGE(""https://docs.google.com/spreadsheets/d/1IYY_tgx_IHuhSq3AJ5eI5OnqOPBNLWSHKh2a30DoXe8/edit?usp=sharing"",""ตรัง!J359"")"),36628)</f>
        <v>36628</v>
      </c>
      <c r="K464" s="274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8">
        <f t="shared" ca="1" si="117"/>
        <v>99.971534301167097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IFERROR(__xludf.DUMMYFUNCTION("IMPORTRANGE(""https://docs.google.com/spreadsheets/d/1IYY_tgx_IHuhSq3AJ5eI5OnqOPBNLWSHKh2a30DoXe8/edit?usp=sharing"",""ตรัง!I362"")"),0)</f>
        <v>0</v>
      </c>
      <c r="J467" s="195">
        <f ca="1">IFERROR(__xludf.DUMMYFUNCTION("IMPORTRANGE(""https://docs.google.com/spreadsheets/d/1IYY_tgx_IHuhSq3AJ5eI5OnqOPBNLWSHKh2a30DoXe8/edit?usp=sharing"",""ตรัง!J362"")"),36628)</f>
        <v>36628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IFERROR(__xludf.DUMMYFUNCTION("IMPORTRANGE(""https://docs.google.com/spreadsheets/d/1IYY_tgx_IHuhSq3AJ5eI5OnqOPBNLWSHKh2a30DoXe8/edit?usp=sharing"",""ตรัง!I363"")"),0)</f>
        <v>0</v>
      </c>
      <c r="J468" s="195">
        <f ca="1">IFERROR(__xludf.DUMMYFUNCTION("IMPORTRANGE(""https://docs.google.com/spreadsheets/d/1IYY_tgx_IHuhSq3AJ5eI5OnqOPBNLWSHKh2a30DoXe8/edit?usp=sharing"",""ตรัง!J363"")"),3274)</f>
        <v>3274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IFERROR(__xludf.DUMMYFUNCTION("IMPORTRANGE(""https://docs.google.com/spreadsheets/d/1IYY_tgx_IHuhSq3AJ5eI5OnqOPBNLWSHKh2a30DoXe8/edit?usp=sharing"",""ตรัง!I364"")"),0)</f>
        <v>0</v>
      </c>
      <c r="J469" s="195">
        <f ca="1">IFERROR(__xludf.DUMMYFUNCTION("IMPORTRANGE(""https://docs.google.com/spreadsheets/d/1IYY_tgx_IHuhSq3AJ5eI5OnqOPBNLWSHKh2a30DoXe8/edit?usp=sharing"",""ตรัง!J364"")"),1659)</f>
        <v>1659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IFERROR(__xludf.DUMMYFUNCTION("IMPORTRANGE(""https://docs.google.com/spreadsheets/d/1IYY_tgx_IHuhSq3AJ5eI5OnqOPBNLWSHKh2a30DoXe8/edit?usp=sharing"",""ตรัง!I365"")"),0)</f>
        <v>0</v>
      </c>
      <c r="J470" s="195">
        <f ca="1">IFERROR(__xludf.DUMMYFUNCTION("IMPORTRANGE(""https://docs.google.com/spreadsheets/d/1IYY_tgx_IHuhSq3AJ5eI5OnqOPBNLWSHKh2a30DoXe8/edit?usp=sharing"",""ตรัง!J365"")"),133)</f>
        <v>133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IFERROR(__xludf.DUMMYFUNCTION("IMPORTRANGE(""https://docs.google.com/spreadsheets/d/1IYY_tgx_IHuhSq3AJ5eI5OnqOPBNLWSHKh2a30DoXe8/edit?usp=sharing"",""ตรัง!I366"")"),0)</f>
        <v>0</v>
      </c>
      <c r="J471" s="195">
        <f ca="1">IFERROR(__xludf.DUMMYFUNCTION("IMPORTRANGE(""https://docs.google.com/spreadsheets/d/1IYY_tgx_IHuhSq3AJ5eI5OnqOPBNLWSHKh2a30DoXe8/edit?usp=sharing"",""ตรัง!J366"")"),1468)</f>
        <v>1468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IFERROR(__xludf.DUMMYFUNCTION("IMPORTRANGE(""https://docs.google.com/spreadsheets/d/1IYY_tgx_IHuhSq3AJ5eI5OnqOPBNLWSHKh2a30DoXe8/edit?usp=sharing"",""ตรัง!I367"")"),0)</f>
        <v>0</v>
      </c>
      <c r="J472" s="195">
        <f ca="1">IFERROR(__xludf.DUMMYFUNCTION("IMPORTRANGE(""https://docs.google.com/spreadsheets/d/1IYY_tgx_IHuhSq3AJ5eI5OnqOPBNLWSHKh2a30DoXe8/edit?usp=sharing"",""ตรัง!J367"")"),105)</f>
        <v>105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208">
        <f t="shared" ca="1" si="117"/>
        <v>99.971534301167097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IFERROR(__xludf.DUMMYFUNCTION("IMPORTRANGE(""https://docs.google.com/spreadsheets/d/1IYY_tgx_IHuhSq3AJ5eI5OnqOPBNLWSHKh2a30DoXe8/edit?usp=sharing"",""ตรัง!I370"")"),0)</f>
        <v>0</v>
      </c>
      <c r="J475" s="195">
        <f ca="1">IFERROR(__xludf.DUMMYFUNCTION("IMPORTRANGE(""https://docs.google.com/spreadsheets/d/1IYY_tgx_IHuhSq3AJ5eI5OnqOPBNLWSHKh2a30DoXe8/edit?usp=sharing"",""ตรัง!J370"")"),36628)</f>
        <v>36628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IFERROR(__xludf.DUMMYFUNCTION("IMPORTRANGE(""https://docs.google.com/spreadsheets/d/1IYY_tgx_IHuhSq3AJ5eI5OnqOPBNLWSHKh2a30DoXe8/edit?usp=sharing"",""ตรัง!I371"")"),0)</f>
        <v>0</v>
      </c>
      <c r="J476" s="195">
        <f ca="1">IFERROR(__xludf.DUMMYFUNCTION("IMPORTRANGE(""https://docs.google.com/spreadsheets/d/1IYY_tgx_IHuhSq3AJ5eI5OnqOPBNLWSHKh2a30DoXe8/edit?usp=sharing"",""ตรัง!J371"")"),3274)</f>
        <v>3274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IFERROR(__xludf.DUMMYFUNCTION("IMPORTRANGE(""https://docs.google.com/spreadsheets/d/1IYY_tgx_IHuhSq3AJ5eI5OnqOPBNLWSHKh2a30DoXe8/edit?usp=sharing"",""ตรัง!I372"")"),0)</f>
        <v>0</v>
      </c>
      <c r="J477" s="195">
        <f ca="1">IFERROR(__xludf.DUMMYFUNCTION("IMPORTRANGE(""https://docs.google.com/spreadsheets/d/1IYY_tgx_IHuhSq3AJ5eI5OnqOPBNLWSHKh2a30DoXe8/edit?usp=sharing"",""ตรัง!J372"")"),1659)</f>
        <v>1659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IFERROR(__xludf.DUMMYFUNCTION("IMPORTRANGE(""https://docs.google.com/spreadsheets/d/1IYY_tgx_IHuhSq3AJ5eI5OnqOPBNLWSHKh2a30DoXe8/edit?usp=sharing"",""ตรัง!I373"")"),0)</f>
        <v>0</v>
      </c>
      <c r="J478" s="195">
        <f ca="1">IFERROR(__xludf.DUMMYFUNCTION("IMPORTRANGE(""https://docs.google.com/spreadsheets/d/1IYY_tgx_IHuhSq3AJ5eI5OnqOPBNLWSHKh2a30DoXe8/edit?usp=sharing"",""ตรัง!J373"")"),133)</f>
        <v>133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IFERROR(__xludf.DUMMYFUNCTION("IMPORTRANGE(""https://docs.google.com/spreadsheets/d/1IYY_tgx_IHuhSq3AJ5eI5OnqOPBNLWSHKh2a30DoXe8/edit?usp=sharing"",""ตรัง!I374"")"),0)</f>
        <v>0</v>
      </c>
      <c r="J479" s="195">
        <f ca="1">IFERROR(__xludf.DUMMYFUNCTION("IMPORTRANGE(""https://docs.google.com/spreadsheets/d/1IYY_tgx_IHuhSq3AJ5eI5OnqOPBNLWSHKh2a30DoXe8/edit?usp=sharing"",""ตรัง!J374"")"),1468)</f>
        <v>1468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IFERROR(__xludf.DUMMYFUNCTION("IMPORTRANGE(""https://docs.google.com/spreadsheets/d/1IYY_tgx_IHuhSq3AJ5eI5OnqOPBNLWSHKh2a30DoXe8/edit?usp=sharing"",""ตรัง!I375"")"),0)</f>
        <v>0</v>
      </c>
      <c r="J480" s="195">
        <f ca="1">IFERROR(__xludf.DUMMYFUNCTION("IMPORTRANGE(""https://docs.google.com/spreadsheets/d/1IYY_tgx_IHuhSq3AJ5eI5OnqOPBNLWSHKh2a30DoXe8/edit?usp=sharing"",""ตรัง!J375"")"),105)</f>
        <v>105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8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208">
        <f t="shared" ca="1" si="117"/>
        <v>93.196697978935376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IFERROR(__xludf.DUMMYFUNCTION("IMPORTRANGE(""https://docs.google.com/spreadsheets/d/1IYY_tgx_IHuhSq3AJ5eI5OnqOPBNLWSHKh2a30DoXe8/edit?usp=sharing"",""ตรัง!I378"")"),0)</f>
        <v>0</v>
      </c>
      <c r="J483" s="195">
        <f ca="1">IFERROR(__xludf.DUMMYFUNCTION("IMPORTRANGE(""https://docs.google.com/spreadsheets/d/1IYY_tgx_IHuhSq3AJ5eI5OnqOPBNLWSHKh2a30DoXe8/edit?usp=sharing"",""ตรัง!J378"")"),36628)</f>
        <v>36628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IFERROR(__xludf.DUMMYFUNCTION("IMPORTRANGE(""https://docs.google.com/spreadsheets/d/1IYY_tgx_IHuhSq3AJ5eI5OnqOPBNLWSHKh2a30DoXe8/edit?usp=sharing"",""ตรัง!I379"")"),0)</f>
        <v>0</v>
      </c>
      <c r="J484" s="195">
        <f ca="1">IFERROR(__xludf.DUMMYFUNCTION("IMPORTRANGE(""https://docs.google.com/spreadsheets/d/1IYY_tgx_IHuhSq3AJ5eI5OnqOPBNLWSHKh2a30DoXe8/edit?usp=sharing"",""ตรัง!J379"")"),3274)</f>
        <v>3274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IFERROR(__xludf.DUMMYFUNCTION("IMPORTRANGE(""https://docs.google.com/spreadsheets/d/1IYY_tgx_IHuhSq3AJ5eI5OnqOPBNLWSHKh2a30DoXe8/edit?usp=sharing"",""ตรัง!I380"")"),0)</f>
        <v>0</v>
      </c>
      <c r="J485" s="195">
        <f ca="1">IFERROR(__xludf.DUMMYFUNCTION("IMPORTRANGE(""https://docs.google.com/spreadsheets/d/1IYY_tgx_IHuhSq3AJ5eI5OnqOPBNLWSHKh2a30DoXe8/edit?usp=sharing"",""ตรัง!J380"")"),0)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IFERROR(__xludf.DUMMYFUNCTION("IMPORTRANGE(""https://docs.google.com/spreadsheets/d/1IYY_tgx_IHuhSq3AJ5eI5OnqOPBNLWSHKh2a30DoXe8/edit?usp=sharing"",""ตรัง!I381"")"),0)</f>
        <v>0</v>
      </c>
      <c r="J486" s="195">
        <f ca="1">IFERROR(__xludf.DUMMYFUNCTION("IMPORTRANGE(""https://docs.google.com/spreadsheets/d/1IYY_tgx_IHuhSq3AJ5eI5OnqOPBNLWSHKh2a30DoXe8/edit?usp=sharing"",""ตรัง!J381"")"),0)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IFERROR(__xludf.DUMMYFUNCTION("IMPORTRANGE(""https://docs.google.com/spreadsheets/d/1IYY_tgx_IHuhSq3AJ5eI5OnqOPBNLWSHKh2a30DoXe8/edit?usp=sharing"",""ตรัง!I384"")"),0)</f>
        <v>0</v>
      </c>
      <c r="J489" s="195">
        <f ca="1">IFERROR(__xludf.DUMMYFUNCTION("IMPORTRANGE(""https://docs.google.com/spreadsheets/d/1IYY_tgx_IHuhSq3AJ5eI5OnqOPBNLWSHKh2a30DoXe8/edit?usp=sharing"",""ตรัง!J384"")"),0)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IFERROR(__xludf.DUMMYFUNCTION("IMPORTRANGE(""https://docs.google.com/spreadsheets/d/1IYY_tgx_IHuhSq3AJ5eI5OnqOPBNLWSHKh2a30DoXe8/edit?usp=sharing"",""ตรัง!I385"")"),0)</f>
        <v>0</v>
      </c>
      <c r="J490" s="195">
        <f ca="1">IFERROR(__xludf.DUMMYFUNCTION("IMPORTRANGE(""https://docs.google.com/spreadsheets/d/1IYY_tgx_IHuhSq3AJ5eI5OnqOPBNLWSHKh2a30DoXe8/edit?usp=sharing"",""ตรัง!J385"")"),0)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IFERROR(__xludf.DUMMYFUNCTION("IMPORTRANGE(""https://docs.google.com/spreadsheets/d/1IYY_tgx_IHuhSq3AJ5eI5OnqOPBNLWSHKh2a30DoXe8/edit?usp=sharing"",""ตรัง!I386"")"),0)</f>
        <v>0</v>
      </c>
      <c r="J491" s="195">
        <f ca="1">IFERROR(__xludf.DUMMYFUNCTION("IMPORTRANGE(""https://docs.google.com/spreadsheets/d/1IYY_tgx_IHuhSq3AJ5eI5OnqOPBNLWSHKh2a30DoXe8/edit?usp=sharing"",""ตรัง!J386"")"),0)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IFERROR(__xludf.DUMMYFUNCTION("IMPORTRANGE(""https://docs.google.com/spreadsheets/d/1IYY_tgx_IHuhSq3AJ5eI5OnqOPBNLWSHKh2a30DoXe8/edit?usp=sharing"",""ตรัง!I387"")"),0)</f>
        <v>0</v>
      </c>
      <c r="J492" s="195">
        <f ca="1">IFERROR(__xludf.DUMMYFUNCTION("IMPORTRANGE(""https://docs.google.com/spreadsheets/d/1IYY_tgx_IHuhSq3AJ5eI5OnqOPBNLWSHKh2a30DoXe8/edit?usp=sharing"",""ตรัง!J387"")"),0)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IFERROR(__xludf.DUMMYFUNCTION("IMPORTRANGE(""https://docs.google.com/spreadsheets/d/1IYY_tgx_IHuhSq3AJ5eI5OnqOPBNLWSHKh2a30DoXe8/edit?usp=sharing"",""ตรัง!I388"")"),0)</f>
        <v>0</v>
      </c>
      <c r="J493" s="195">
        <f ca="1">IFERROR(__xludf.DUMMYFUNCTION("IMPORTRANGE(""https://docs.google.com/spreadsheets/d/1IYY_tgx_IHuhSq3AJ5eI5OnqOPBNLWSHKh2a30DoXe8/edit?usp=sharing"",""ตรัง!J388"")"),0)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IFERROR(__xludf.DUMMYFUNCTION("IMPORTRANGE(""https://docs.google.com/spreadsheets/d/1IYY_tgx_IHuhSq3AJ5eI5OnqOPBNLWSHKh2a30DoXe8/edit?usp=sharing"",""ตรัง!I395"")"),0)</f>
        <v>0</v>
      </c>
      <c r="J500" s="166">
        <f ca="1">IFERROR(__xludf.DUMMYFUNCTION("IMPORTRANGE(""https://docs.google.com/spreadsheets/d/1IYY_tgx_IHuhSq3AJ5eI5OnqOPBNLWSHKh2a30DoXe8/edit?usp=sharing"",""ตรัง!J395"")"),0)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IFERROR(__xludf.DUMMYFUNCTION("IMPORTRANGE(""https://docs.google.com/spreadsheets/d/1IYY_tgx_IHuhSq3AJ5eI5OnqOPBNLWSHKh2a30DoXe8/edit?usp=sharing"",""ตรัง!I396"")"),0)</f>
        <v>0</v>
      </c>
      <c r="J501" s="166">
        <f ca="1">IFERROR(__xludf.DUMMYFUNCTION("IMPORTRANGE(""https://docs.google.com/spreadsheets/d/1IYY_tgx_IHuhSq3AJ5eI5OnqOPBNLWSHKh2a30DoXe8/edit?usp=sharing"",""ตรัง!J396"")"),0)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IFERROR(__xludf.DUMMYFUNCTION("IMPORTRANGE(""https://docs.google.com/spreadsheets/d/1IYY_tgx_IHuhSq3AJ5eI5OnqOPBNLWSHKh2a30DoXe8/edit?usp=sharing"",""ตรัง!I397"")"),0)</f>
        <v>0</v>
      </c>
      <c r="J502" s="195">
        <f ca="1">IFERROR(__xludf.DUMMYFUNCTION("IMPORTRANGE(""https://docs.google.com/spreadsheets/d/1IYY_tgx_IHuhSq3AJ5eI5OnqOPBNLWSHKh2a30DoXe8/edit?usp=sharing"",""ตรัง!J397"")"),0)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IFERROR(__xludf.DUMMYFUNCTION("IMPORTRANGE(""https://docs.google.com/spreadsheets/d/1IYY_tgx_IHuhSq3AJ5eI5OnqOPBNLWSHKh2a30DoXe8/edit?usp=sharing"",""ตรัง!I398"")"),0)</f>
        <v>0</v>
      </c>
      <c r="J503" s="204">
        <f ca="1">IFERROR(__xludf.DUMMYFUNCTION("IMPORTRANGE(""https://docs.google.com/spreadsheets/d/1IYY_tgx_IHuhSq3AJ5eI5OnqOPBNLWSHKh2a30DoXe8/edit?usp=sharing"",""ตรัง!J398"")"),0)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IFERROR(__xludf.DUMMYFUNCTION("IMPORTRANGE(""https://docs.google.com/spreadsheets/d/1IYY_tgx_IHuhSq3AJ5eI5OnqOPBNLWSHKh2a30DoXe8/edit?usp=sharing"",""ตรัง!I399"")"),0)</f>
        <v>0</v>
      </c>
      <c r="J504" s="195">
        <f ca="1">IFERROR(__xludf.DUMMYFUNCTION("IMPORTRANGE(""https://docs.google.com/spreadsheets/d/1IYY_tgx_IHuhSq3AJ5eI5OnqOPBNLWSHKh2a30DoXe8/edit?usp=sharing"",""ตรัง!J399"")"),0)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IFERROR(__xludf.DUMMYFUNCTION("IMPORTRANGE(""https://docs.google.com/spreadsheets/d/1IYY_tgx_IHuhSq3AJ5eI5OnqOPBNLWSHKh2a30DoXe8/edit?usp=sharing"",""ตรัง!I400"")"),0)</f>
        <v>0</v>
      </c>
      <c r="J505" s="204">
        <f ca="1">IFERROR(__xludf.DUMMYFUNCTION("IMPORTRANGE(""https://docs.google.com/spreadsheets/d/1IYY_tgx_IHuhSq3AJ5eI5OnqOPBNLWSHKh2a30DoXe8/edit?usp=sharing"",""ตรัง!J400"")"),0)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IFERROR(__xludf.DUMMYFUNCTION("IMPORTRANGE(""https://docs.google.com/spreadsheets/d/1IYY_tgx_IHuhSq3AJ5eI5OnqOPBNLWSHKh2a30DoXe8/edit?usp=sharing"",""ตรัง!I401"")"),0)</f>
        <v>0</v>
      </c>
      <c r="J506" s="195">
        <f ca="1">IFERROR(__xludf.DUMMYFUNCTION("IMPORTRANGE(""https://docs.google.com/spreadsheets/d/1IYY_tgx_IHuhSq3AJ5eI5OnqOPBNLWSHKh2a30DoXe8/edit?usp=sharing"",""ตรัง!J401"")"),0)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IFERROR(__xludf.DUMMYFUNCTION("IMPORTRANGE(""https://docs.google.com/spreadsheets/d/1IYY_tgx_IHuhSq3AJ5eI5OnqOPBNLWSHKh2a30DoXe8/edit?usp=sharing"",""ตรัง!I402"")"),0)</f>
        <v>0</v>
      </c>
      <c r="J507" s="204">
        <f ca="1">IFERROR(__xludf.DUMMYFUNCTION("IMPORTRANGE(""https://docs.google.com/spreadsheets/d/1IYY_tgx_IHuhSq3AJ5eI5OnqOPBNLWSHKh2a30DoXe8/edit?usp=sharing"",""ตรัง!J402"")"),0)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IFERROR(__xludf.DUMMYFUNCTION("IMPORTRANGE(""https://docs.google.com/spreadsheets/d/1IYY_tgx_IHuhSq3AJ5eI5OnqOPBNLWSHKh2a30DoXe8/edit?usp=sharing"",""ตรัง!I403"")"),0)</f>
        <v>0</v>
      </c>
      <c r="J508" s="166">
        <f ca="1">IFERROR(__xludf.DUMMYFUNCTION("IMPORTRANGE(""https://docs.google.com/spreadsheets/d/1IYY_tgx_IHuhSq3AJ5eI5OnqOPBNLWSHKh2a30DoXe8/edit?usp=sharing"",""ตรัง!J403"")"),0)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IFERROR(__xludf.DUMMYFUNCTION("IMPORTRANGE(""https://docs.google.com/spreadsheets/d/1IYY_tgx_IHuhSq3AJ5eI5OnqOPBNLWSHKh2a30DoXe8/edit?usp=sharing"",""ตรัง!I404"")"),0)</f>
        <v>0</v>
      </c>
      <c r="J509" s="166">
        <f ca="1">IFERROR(__xludf.DUMMYFUNCTION("IMPORTRANGE(""https://docs.google.com/spreadsheets/d/1IYY_tgx_IHuhSq3AJ5eI5OnqOPBNLWSHKh2a30DoXe8/edit?usp=sharing"",""ตรัง!J404"")"),0)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IFERROR(__xludf.DUMMYFUNCTION("IMPORTRANGE(""https://docs.google.com/spreadsheets/d/1IYY_tgx_IHuhSq3AJ5eI5OnqOPBNLWSHKh2a30DoXe8/edit?usp=sharing"",""ตรัง!I405"")"),0)</f>
        <v>0</v>
      </c>
      <c r="J510" s="204">
        <f ca="1">IFERROR(__xludf.DUMMYFUNCTION("IMPORTRANGE(""https://docs.google.com/spreadsheets/d/1IYY_tgx_IHuhSq3AJ5eI5OnqOPBNLWSHKh2a30DoXe8/edit?usp=sharing"",""ตรัง!J405"")"),0)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IFERROR(__xludf.DUMMYFUNCTION("IMPORTRANGE(""https://docs.google.com/spreadsheets/d/1IYY_tgx_IHuhSq3AJ5eI5OnqOPBNLWSHKh2a30DoXe8/edit?usp=sharing"",""ตรัง!I406"")"),0)</f>
        <v>0</v>
      </c>
      <c r="J511" s="204">
        <f ca="1">IFERROR(__xludf.DUMMYFUNCTION("IMPORTRANGE(""https://docs.google.com/spreadsheets/d/1IYY_tgx_IHuhSq3AJ5eI5OnqOPBNLWSHKh2a30DoXe8/edit?usp=sharing"",""ตรัง!J406"")"),0)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IFERROR(__xludf.DUMMYFUNCTION("IMPORTRANGE(""https://docs.google.com/spreadsheets/d/1IYY_tgx_IHuhSq3AJ5eI5OnqOPBNLWSHKh2a30DoXe8/edit?usp=sharing"",""ตรัง!I407"")"),0)</f>
        <v>0</v>
      </c>
      <c r="J512" s="204">
        <f ca="1">IFERROR(__xludf.DUMMYFUNCTION("IMPORTRANGE(""https://docs.google.com/spreadsheets/d/1IYY_tgx_IHuhSq3AJ5eI5OnqOPBNLWSHKh2a30DoXe8/edit?usp=sharing"",""ตรัง!J407"")"),0)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IFERROR(__xludf.DUMMYFUNCTION("IMPORTRANGE(""https://docs.google.com/spreadsheets/d/1IYY_tgx_IHuhSq3AJ5eI5OnqOPBNLWSHKh2a30DoXe8/edit?usp=sharing"",""ตรัง!I408"")"),0)</f>
        <v>0</v>
      </c>
      <c r="J513" s="204">
        <f ca="1">IFERROR(__xludf.DUMMYFUNCTION("IMPORTRANGE(""https://docs.google.com/spreadsheets/d/1IYY_tgx_IHuhSq3AJ5eI5OnqOPBNLWSHKh2a30DoXe8/edit?usp=sharing"",""ตรัง!J408"")"),0)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IFERROR(__xludf.DUMMYFUNCTION("IMPORTRANGE(""https://docs.google.com/spreadsheets/d/1IYY_tgx_IHuhSq3AJ5eI5OnqOPBNLWSHKh2a30DoXe8/edit?usp=sharing"",""ตรัง!I409"")"),0)</f>
        <v>0</v>
      </c>
      <c r="J514" s="204">
        <f ca="1">IFERROR(__xludf.DUMMYFUNCTION("IMPORTRANGE(""https://docs.google.com/spreadsheets/d/1IYY_tgx_IHuhSq3AJ5eI5OnqOPBNLWSHKh2a30DoXe8/edit?usp=sharing"",""ตรัง!J409"")"),0)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IFERROR(__xludf.DUMMYFUNCTION("IMPORTRANGE(""https://docs.google.com/spreadsheets/d/1IYY_tgx_IHuhSq3AJ5eI5OnqOPBNLWSHKh2a30DoXe8/edit?usp=sharing"",""ตรัง!I410"")"),0)</f>
        <v>0</v>
      </c>
      <c r="J515" s="204">
        <f ca="1">IFERROR(__xludf.DUMMYFUNCTION("IMPORTRANGE(""https://docs.google.com/spreadsheets/d/1IYY_tgx_IHuhSq3AJ5eI5OnqOPBNLWSHKh2a30DoXe8/edit?usp=sharing"",""ตรัง!J410"")"),0)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IFERROR(__xludf.DUMMYFUNCTION("IMPORTRANGE(""https://docs.google.com/spreadsheets/d/1IYY_tgx_IHuhSq3AJ5eI5OnqOPBNLWSHKh2a30DoXe8/edit?usp=sharing"",""ตรัง!I411"")"),0)</f>
        <v>0</v>
      </c>
      <c r="J516" s="273">
        <f ca="1">IFERROR(__xludf.DUMMYFUNCTION("IMPORTRANGE(""https://docs.google.com/spreadsheets/d/1IYY_tgx_IHuhSq3AJ5eI5OnqOPBNLWSHKh2a30DoXe8/edit?usp=sharing"",""ตรัง!J411"")"),0)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IFERROR(__xludf.DUMMYFUNCTION("IMPORTRANGE(""https://docs.google.com/spreadsheets/d/1IYY_tgx_IHuhSq3AJ5eI5OnqOPBNLWSHKh2a30DoXe8/edit?usp=sharing"",""ตรัง!I414"")"),0)</f>
        <v>0</v>
      </c>
      <c r="J519" s="194">
        <f ca="1">IFERROR(__xludf.DUMMYFUNCTION("IMPORTRANGE(""https://docs.google.com/spreadsheets/d/1IYY_tgx_IHuhSq3AJ5eI5OnqOPBNLWSHKh2a30DoXe8/edit?usp=sharing"",""ตรัง!J414"")"),0)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IFERROR(__xludf.DUMMYFUNCTION("IMPORTRANGE(""https://docs.google.com/spreadsheets/d/1IYY_tgx_IHuhSq3AJ5eI5OnqOPBNLWSHKh2a30DoXe8/edit?usp=sharing"",""ตรัง!I415"")"),0)</f>
        <v>0</v>
      </c>
      <c r="J520" s="194">
        <f ca="1">IFERROR(__xludf.DUMMYFUNCTION("IMPORTRANGE(""https://docs.google.com/spreadsheets/d/1IYY_tgx_IHuhSq3AJ5eI5OnqOPBNLWSHKh2a30DoXe8/edit?usp=sharing"",""ตรัง!J415"")"),0)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IFERROR(__xludf.DUMMYFUNCTION("IMPORTRANGE(""https://docs.google.com/spreadsheets/d/1IYY_tgx_IHuhSq3AJ5eI5OnqOPBNLWSHKh2a30DoXe8/edit?usp=sharing"",""ตรัง!I416"")"),0)</f>
        <v>0</v>
      </c>
      <c r="J521" s="194">
        <f ca="1">IFERROR(__xludf.DUMMYFUNCTION("IMPORTRANGE(""https://docs.google.com/spreadsheets/d/1IYY_tgx_IHuhSq3AJ5eI5OnqOPBNLWSHKh2a30DoXe8/edit?usp=sharing"",""ตรัง!J416"")"),0)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IFERROR(__xludf.DUMMYFUNCTION("IMPORTRANGE(""https://docs.google.com/spreadsheets/d/1IYY_tgx_IHuhSq3AJ5eI5OnqOPBNLWSHKh2a30DoXe8/edit?usp=sharing"",""ตรัง!I417"")"),0)</f>
        <v>0</v>
      </c>
      <c r="J522" s="194">
        <f ca="1">IFERROR(__xludf.DUMMYFUNCTION("IMPORTRANGE(""https://docs.google.com/spreadsheets/d/1IYY_tgx_IHuhSq3AJ5eI5OnqOPBNLWSHKh2a30DoXe8/edit?usp=sharing"",""ตรัง!J417"")"),0)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IFERROR(__xludf.DUMMYFUNCTION("IMPORTRANGE(""https://docs.google.com/spreadsheets/d/1IYY_tgx_IHuhSq3AJ5eI5OnqOPBNLWSHKh2a30DoXe8/edit?usp=sharing"",""ตรัง!I418"")"),0)</f>
        <v>0</v>
      </c>
      <c r="J523" s="194">
        <f ca="1">IFERROR(__xludf.DUMMYFUNCTION("IMPORTRANGE(""https://docs.google.com/spreadsheets/d/1IYY_tgx_IHuhSq3AJ5eI5OnqOPBNLWSHKh2a30DoXe8/edit?usp=sharing"",""ตรัง!J418"")"),15)</f>
        <v>15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IFERROR(__xludf.DUMMYFUNCTION("IMPORTRANGE(""https://docs.google.com/spreadsheets/d/1IYY_tgx_IHuhSq3AJ5eI5OnqOPBNLWSHKh2a30DoXe8/edit?usp=sharing"",""ตรัง!I419"")"),0)</f>
        <v>0</v>
      </c>
      <c r="J524" s="194">
        <f ca="1">IFERROR(__xludf.DUMMYFUNCTION("IMPORTRANGE(""https://docs.google.com/spreadsheets/d/1IYY_tgx_IHuhSq3AJ5eI5OnqOPBNLWSHKh2a30DoXe8/edit?usp=sharing"",""ตรัง!J419"")"),2)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IFERROR(__xludf.DUMMYFUNCTION("IMPORTRANGE(""https://docs.google.com/spreadsheets/d/1IYY_tgx_IHuhSq3AJ5eI5OnqOPBNLWSHKh2a30DoXe8/edit?usp=sharing"",""ตรัง!I420"")"),15)</f>
        <v>15</v>
      </c>
      <c r="J525" s="290">
        <f ca="1">IFERROR(__xludf.DUMMYFUNCTION("IMPORTRANGE(""https://docs.google.com/spreadsheets/d/1IYY_tgx_IHuhSq3AJ5eI5OnqOPBNLWSHKh2a30DoXe8/edit?usp=sharing"",""ตรัง!J420"")"),0)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IFERROR(__xludf.DUMMYFUNCTION("IMPORTRANGE(""https://docs.google.com/spreadsheets/d/1IYY_tgx_IHuhSq3AJ5eI5OnqOPBNLWSHKh2a30DoXe8/edit?usp=sharing"",""ตรัง!I421"")"),2)</f>
        <v>2</v>
      </c>
      <c r="J526" s="290">
        <f ca="1">IFERROR(__xludf.DUMMYFUNCTION("IMPORTRANGE(""https://docs.google.com/spreadsheets/d/1IYY_tgx_IHuhSq3AJ5eI5OnqOPBNLWSHKh2a30DoXe8/edit?usp=sharing"",""ตรัง!J421"")"),0)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IFERROR(__xludf.DUMMYFUNCTION("IMPORTRANGE(""https://docs.google.com/spreadsheets/d/1IYY_tgx_IHuhSq3AJ5eI5OnqOPBNLWSHKh2a30DoXe8/edit?usp=sharing"",""ตรัง!I422"")"),0)</f>
        <v>0</v>
      </c>
      <c r="J527" s="204">
        <f ca="1">IFERROR(__xludf.DUMMYFUNCTION("IMPORTRANGE(""https://docs.google.com/spreadsheets/d/1IYY_tgx_IHuhSq3AJ5eI5OnqOPBNLWSHKh2a30DoXe8/edit?usp=sharing"",""ตรัง!J422"")"),0)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IFERROR(__xludf.DUMMYFUNCTION("IMPORTRANGE(""https://docs.google.com/spreadsheets/d/1IYY_tgx_IHuhSq3AJ5eI5OnqOPBNLWSHKh2a30DoXe8/edit?usp=sharing"",""ตรัง!I423"")"),0)</f>
        <v>0</v>
      </c>
      <c r="J528" s="204">
        <f ca="1">IFERROR(__xludf.DUMMYFUNCTION("IMPORTRANGE(""https://docs.google.com/spreadsheets/d/1IYY_tgx_IHuhSq3AJ5eI5OnqOPBNLWSHKh2a30DoXe8/edit?usp=sharing"",""ตรัง!J423"")"),0)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IFERROR(__xludf.DUMMYFUNCTION("IMPORTRANGE(""https://docs.google.com/spreadsheets/d/1IYY_tgx_IHuhSq3AJ5eI5OnqOPBNLWSHKh2a30DoXe8/edit?usp=sharing"",""ตรัง!I424"")"),0)</f>
        <v>0</v>
      </c>
      <c r="J529" s="204">
        <f ca="1">IFERROR(__xludf.DUMMYFUNCTION("IMPORTRANGE(""https://docs.google.com/spreadsheets/d/1IYY_tgx_IHuhSq3AJ5eI5OnqOPBNLWSHKh2a30DoXe8/edit?usp=sharing"",""ตรัง!J424"")"),0)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IFERROR(__xludf.DUMMYFUNCTION("IMPORTRANGE(""https://docs.google.com/spreadsheets/d/1IYY_tgx_IHuhSq3AJ5eI5OnqOPBNLWSHKh2a30DoXe8/edit?usp=sharing"",""ตรัง!I425"")"),0)</f>
        <v>0</v>
      </c>
      <c r="J530" s="204">
        <f ca="1">IFERROR(__xludf.DUMMYFUNCTION("IMPORTRANGE(""https://docs.google.com/spreadsheets/d/1IYY_tgx_IHuhSq3AJ5eI5OnqOPBNLWSHKh2a30DoXe8/edit?usp=sharing"",""ตรัง!J425"")"),0)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IFERROR(__xludf.DUMMYFUNCTION("IMPORTRANGE(""https://docs.google.com/spreadsheets/d/1IYY_tgx_IHuhSq3AJ5eI5OnqOPBNLWSHKh2a30DoXe8/edit?usp=sharing"",""ตรัง!I426"")"),0)</f>
        <v>0</v>
      </c>
      <c r="J531" s="204">
        <f ca="1">IFERROR(__xludf.DUMMYFUNCTION("IMPORTRANGE(""https://docs.google.com/spreadsheets/d/1IYY_tgx_IHuhSq3AJ5eI5OnqOPBNLWSHKh2a30DoXe8/edit?usp=sharing"",""ตรัง!J426"")"),0)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IFERROR(__xludf.DUMMYFUNCTION("IMPORTRANGE(""https://docs.google.com/spreadsheets/d/1IYY_tgx_IHuhSq3AJ5eI5OnqOPBNLWSHKh2a30DoXe8/edit?usp=sharing"",""ตรัง!M428"")"),21539.48)</f>
        <v>21539.48</v>
      </c>
      <c r="O533" s="418">
        <f t="shared" ref="O533:O537" ca="1" si="118">+IF(L533&gt;0,N533*100/L533,0)</f>
        <v>62.724170064065227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IFERROR(__xludf.DUMMYFUNCTION("IMPORTRANGE(""https://docs.google.com/spreadsheets/d/1IYY_tgx_IHuhSq3AJ5eI5OnqOPBNLWSHKh2a30DoXe8/edit?usp=sharing"",""ตรัง!L429"")"),0)</f>
        <v>0</v>
      </c>
      <c r="M534" s="168"/>
      <c r="N534" s="175">
        <f ca="1">IFERROR(__xludf.DUMMYFUNCTION("IMPORTRANGE(""https://docs.google.com/spreadsheets/d/1IYY_tgx_IHuhSq3AJ5eI5OnqOPBNLWSHKh2a30DoXe8/edit?usp=sharing"",""ตรัง!M429"")"),0)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5">
        <f ca="1">IFERROR(__xludf.DUMMYFUNCTION("IMPORTRANGE(""https://docs.google.com/spreadsheets/d/1IYY_tgx_IHuhSq3AJ5eI5OnqOPBNLWSHKh2a30DoXe8/edit?usp=sharing"",""ตรัง!M430"")"),21539.48)</f>
        <v>21539.48</v>
      </c>
      <c r="O535" s="175">
        <f t="shared" ca="1" si="118"/>
        <v>62.724170064065227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IFERROR(__xludf.DUMMYFUNCTION("IMPORTRANGE(""https://docs.google.com/spreadsheets/d/1IYY_tgx_IHuhSq3AJ5eI5OnqOPBNLWSHKh2a30DoXe8/edit?usp=sharing"",""ตรัง!L431"")"),0)</f>
        <v>0</v>
      </c>
      <c r="M536" s="175"/>
      <c r="N536" s="175">
        <f ca="1">IFERROR(__xludf.DUMMYFUNCTION("IMPORTRANGE(""https://docs.google.com/spreadsheets/d/1IYY_tgx_IHuhSq3AJ5eI5OnqOPBNLWSHKh2a30DoXe8/edit?usp=sharing"",""ตรัง!M431"")"),0)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IFERROR(__xludf.DUMMYFUNCTION("IMPORTRANGE(""https://docs.google.com/spreadsheets/d/1IYY_tgx_IHuhSq3AJ5eI5OnqOPBNLWSHKh2a30DoXe8/edit?usp=sharing"",""ตรัง!L432"")"),34340)</f>
        <v>34340</v>
      </c>
      <c r="M537" s="175"/>
      <c r="N537" s="175">
        <f ca="1">IFERROR(__xludf.DUMMYFUNCTION("IMPORTRANGE(""https://docs.google.com/spreadsheets/d/1IYY_tgx_IHuhSq3AJ5eI5OnqOPBNLWSHKh2a30DoXe8/edit?usp=sharing"",""ตรัง!M432"")"),21539.48)</f>
        <v>21539.48</v>
      </c>
      <c r="O537" s="175">
        <f t="shared" ca="1" si="118"/>
        <v>62.724170064065227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IFERROR(__xludf.DUMMYFUNCTION("IMPORTRANGE(""https://docs.google.com/spreadsheets/d/1IYY_tgx_IHuhSq3AJ5eI5OnqOPBNLWSHKh2a30DoXe8/edit?usp=sharing"",""ตรัง!M434"")"),0)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IFERROR(__xludf.DUMMYFUNCTION("IMPORTRANGE(""https://docs.google.com/spreadsheets/d/1IYY_tgx_IHuhSq3AJ5eI5OnqOPBNLWSHKh2a30DoXe8/edit?usp=sharing"",""ตรัง!J438"")"),0)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IFERROR(__xludf.DUMMYFUNCTION("IMPORTRANGE(""https://docs.google.com/spreadsheets/d/1IYY_tgx_IHuhSq3AJ5eI5OnqOPBNLWSHKh2a30DoXe8/edit?usp=sharing"",""ตรัง!J439"")"),1)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IFERROR(__xludf.DUMMYFUNCTION("IMPORTRANGE(""https://docs.google.com/spreadsheets/d/1IYY_tgx_IHuhSq3AJ5eI5OnqOPBNLWSHKh2a30DoXe8/edit?usp=sharing"",""ตรัง!J440"")"),1)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IFERROR(__xludf.DUMMYFUNCTION("IMPORTRANGE(""https://docs.google.com/spreadsheets/d/1IYY_tgx_IHuhSq3AJ5eI5OnqOPBNLWSHKh2a30DoXe8/edit?usp=sharing"",""ตรัง!J441"")"),1)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IFERROR(__xludf.DUMMYFUNCTION("IMPORTRANGE(""https://docs.google.com/spreadsheets/d/1IYY_tgx_IHuhSq3AJ5eI5OnqOPBNLWSHKh2a30DoXe8/edit?usp=sharing"",""ตรัง!I442"")"),22)</f>
        <v>22</v>
      </c>
      <c r="J547" s="195">
        <f ca="1">IFERROR(__xludf.DUMMYFUNCTION("IMPORTRANGE(""https://docs.google.com/spreadsheets/d/1IYY_tgx_IHuhSq3AJ5eI5OnqOPBNLWSHKh2a30DoXe8/edit?usp=sharing"",""ตรัง!J442"")"),22)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IFERROR(__xludf.DUMMYFUNCTION("IMPORTRANGE(""https://docs.google.com/spreadsheets/d/1IYY_tgx_IHuhSq3AJ5eI5OnqOPBNLWSHKh2a30DoXe8/edit?usp=sharing"",""ตรัง!J166"")"),0)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IFERROR(__xludf.DUMMYFUNCTION("IMPORTRANGE(""https://docs.google.com/spreadsheets/d/1IYY_tgx_IHuhSq3AJ5eI5OnqOPBNLWSHKh2a30DoXe8/edit?usp=sharing"",""ตรัง!J444"")"),0)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IFERROR(__xludf.DUMMYFUNCTION("IMPORTRANGE(""https://docs.google.com/spreadsheets/d/1IYY_tgx_IHuhSq3AJ5eI5OnqOPBNLWSHKh2a30DoXe8/edit?usp=sharing"",""ตรัง!L447"")"),0)</f>
        <v>0</v>
      </c>
      <c r="M552" s="168"/>
      <c r="N552" s="175">
        <f ca="1">IFERROR(__xludf.DUMMYFUNCTION("IMPORTRANGE(""https://docs.google.com/spreadsheets/d/1IYY_tgx_IHuhSq3AJ5eI5OnqOPBNLWSHKh2a30DoXe8/edit?usp=sharing"",""ตรัง!M447"")"),0)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5">
        <f ca="1">IFERROR(__xludf.DUMMYFUNCTION("IMPORTRANGE(""https://docs.google.com/spreadsheets/d/1IYY_tgx_IHuhSq3AJ5eI5OnqOPBNLWSHKh2a30DoXe8/edit?usp=sharing"",""ตรัง!M448"")"),0)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IFERROR(__xludf.DUMMYFUNCTION("IMPORTRANGE(""https://docs.google.com/spreadsheets/d/1IYY_tgx_IHuhSq3AJ5eI5OnqOPBNLWSHKh2a30DoXe8/edit?usp=sharing"",""ตรัง!L449"")"),0)</f>
        <v>0</v>
      </c>
      <c r="M554" s="175"/>
      <c r="N554" s="175">
        <f ca="1">IFERROR(__xludf.DUMMYFUNCTION("IMPORTRANGE(""https://docs.google.com/spreadsheets/d/1IYY_tgx_IHuhSq3AJ5eI5OnqOPBNLWSHKh2a30DoXe8/edit?usp=sharing"",""ตรัง!M449"")"),0)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IFERROR(__xludf.DUMMYFUNCTION("IMPORTRANGE(""https://docs.google.com/spreadsheets/d/1IYY_tgx_IHuhSq3AJ5eI5OnqOPBNLWSHKh2a30DoXe8/edit?usp=sharing"",""ตรัง!L450"")"),0)</f>
        <v>0</v>
      </c>
      <c r="M555" s="175"/>
      <c r="N555" s="175">
        <f ca="1">IFERROR(__xludf.DUMMYFUNCTION("IMPORTRANGE(""https://docs.google.com/spreadsheets/d/1IYY_tgx_IHuhSq3AJ5eI5OnqOPBNLWSHKh2a30DoXe8/edit?usp=sharing"",""ตรัง!M450"")"),0)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IFERROR(__xludf.DUMMYFUNCTION("IMPORTRANGE(""https://docs.google.com/spreadsheets/d/1IYY_tgx_IHuhSq3AJ5eI5OnqOPBNLWSHKh2a30DoXe8/edit?usp=sharing"",""ตรัง!M451"")"),0)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IFERROR(__xludf.DUMMYFUNCTION("IMPORTRANGE(""https://docs.google.com/spreadsheets/d/1IYY_tgx_IHuhSq3AJ5eI5OnqOPBNLWSHKh2a30DoXe8/edit?usp=sharing"",""ตรัง!M452"")"),0)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IFERROR(__xludf.DUMMYFUNCTION("IMPORTRANGE(""https://docs.google.com/spreadsheets/d/1IYY_tgx_IHuhSq3AJ5eI5OnqOPBNLWSHKh2a30DoXe8/edit?usp=sharing"",""ตรัง!M453"")"),0)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IFERROR(__xludf.DUMMYFUNCTION("IMPORTRANGE(""https://docs.google.com/spreadsheets/d/1IYY_tgx_IHuhSq3AJ5eI5OnqOPBNLWSHKh2a30DoXe8/edit?usp=sharing"",""ตรัง!M454"")"),0)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IFERROR(__xludf.DUMMYFUNCTION("IMPORTRANGE(""https://docs.google.com/spreadsheets/d/1IYY_tgx_IHuhSq3AJ5eI5OnqOPBNLWSHKh2a30DoXe8/edit?usp=sharing"",""ตรัง!I455"")"),0)</f>
        <v>0</v>
      </c>
      <c r="J560" s="166">
        <f ca="1">IFERROR(__xludf.DUMMYFUNCTION("IMPORTRANGE(""https://docs.google.com/spreadsheets/d/1IYY_tgx_IHuhSq3AJ5eI5OnqOPBNLWSHKh2a30DoXe8/edit?usp=sharing"",""ตรัง!J455"")"),0)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IFERROR(__xludf.DUMMYFUNCTION("IMPORTRANGE(""https://docs.google.com/spreadsheets/d/1IYY_tgx_IHuhSq3AJ5eI5OnqOPBNLWSHKh2a30DoXe8/edit?usp=sharing"",""ตรัง!I456"")"),0)</f>
        <v>0</v>
      </c>
      <c r="J561" s="210">
        <f ca="1">IFERROR(__xludf.DUMMYFUNCTION("IMPORTRANGE(""https://docs.google.com/spreadsheets/d/1IYY_tgx_IHuhSq3AJ5eI5OnqOPBNLWSHKh2a30DoXe8/edit?usp=sharing"",""ตรัง!J456"")"),0)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IFERROR(__xludf.DUMMYFUNCTION("IMPORTRANGE(""https://docs.google.com/spreadsheets/d/1IYY_tgx_IHuhSq3AJ5eI5OnqOPBNLWSHKh2a30DoXe8/edit?usp=sharing"",""ตรัง!J459"")"),3514)</f>
        <v>3514</v>
      </c>
      <c r="K564" s="378">
        <f ca="1">IF(I564&gt;0,J564*100/I564,0)</f>
        <v>351.4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IFERROR(__xludf.DUMMYFUNCTION("IMPORTRANGE(""https://docs.google.com/spreadsheets/d/1IYY_tgx_IHuhSq3AJ5eI5OnqOPBNLWSHKh2a30DoXe8/edit?usp=sharing"",""ตรัง!M459"")"),115197.6)</f>
        <v>115197.6</v>
      </c>
      <c r="O564" s="379">
        <f t="shared" ref="O564:O568" ca="1" si="122">+IF(L564&gt;0,N564*100/L564,0)</f>
        <v>93.870273794002614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IFERROR(__xludf.DUMMYFUNCTION("IMPORTRANGE(""https://docs.google.com/spreadsheets/d/1IYY_tgx_IHuhSq3AJ5eI5OnqOPBNLWSHKh2a30DoXe8/edit?usp=sharing"",""ตรัง!L460"")"),0)</f>
        <v>0</v>
      </c>
      <c r="M565" s="168"/>
      <c r="N565" s="175">
        <f ca="1">IFERROR(__xludf.DUMMYFUNCTION("IMPORTRANGE(""https://docs.google.com/spreadsheets/d/1IYY_tgx_IHuhSq3AJ5eI5OnqOPBNLWSHKh2a30DoXe8/edit?usp=sharing"",""ตรัง!M460"")"),0)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5">
        <f ca="1">IFERROR(__xludf.DUMMYFUNCTION("IMPORTRANGE(""https://docs.google.com/spreadsheets/d/1IYY_tgx_IHuhSq3AJ5eI5OnqOPBNLWSHKh2a30DoXe8/edit?usp=sharing"",""ตรัง!M461"")"),115197.6)</f>
        <v>115197.6</v>
      </c>
      <c r="O566" s="175">
        <f t="shared" ca="1" si="122"/>
        <v>93.870273794002614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IFERROR(__xludf.DUMMYFUNCTION("IMPORTRANGE(""https://docs.google.com/spreadsheets/d/1IYY_tgx_IHuhSq3AJ5eI5OnqOPBNLWSHKh2a30DoXe8/edit?usp=sharing"",""ตรัง!L462"")"),0)</f>
        <v>0</v>
      </c>
      <c r="M567" s="175"/>
      <c r="N567" s="175">
        <f ca="1">IFERROR(__xludf.DUMMYFUNCTION("IMPORTRANGE(""https://docs.google.com/spreadsheets/d/1IYY_tgx_IHuhSq3AJ5eI5OnqOPBNLWSHKh2a30DoXe8/edit?usp=sharing"",""ตรัง!M462"")"),0)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IFERROR(__xludf.DUMMYFUNCTION("IMPORTRANGE(""https://docs.google.com/spreadsheets/d/1IYY_tgx_IHuhSq3AJ5eI5OnqOPBNLWSHKh2a30DoXe8/edit?usp=sharing"",""ตรัง!L463"")"),122720)</f>
        <v>122720</v>
      </c>
      <c r="M568" s="175"/>
      <c r="N568" s="175">
        <f ca="1">IFERROR(__xludf.DUMMYFUNCTION("IMPORTRANGE(""https://docs.google.com/spreadsheets/d/1IYY_tgx_IHuhSq3AJ5eI5OnqOPBNLWSHKh2a30DoXe8/edit?usp=sharing"",""ตรัง!M463"")"),115197.6)</f>
        <v>115197.6</v>
      </c>
      <c r="O568" s="175">
        <f t="shared" ca="1" si="122"/>
        <v>93.870273794002614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IFERROR(__xludf.DUMMYFUNCTION("IMPORTRANGE(""https://docs.google.com/spreadsheets/d/1IYY_tgx_IHuhSq3AJ5eI5OnqOPBNLWSHKh2a30DoXe8/edit?usp=sharing"",""ตรัง!M464"")"),0)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IFERROR(__xludf.DUMMYFUNCTION("IMPORTRANGE(""https://docs.google.com/spreadsheets/d/1IYY_tgx_IHuhSq3AJ5eI5OnqOPBNLWSHKh2a30DoXe8/edit?usp=sharing"",""ตรัง!M465"")"),0)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IFERROR(__xludf.DUMMYFUNCTION("IMPORTRANGE(""https://docs.google.com/spreadsheets/d/1IYY_tgx_IHuhSq3AJ5eI5OnqOPBNLWSHKh2a30DoXe8/edit?usp=sharing"",""ตรัง!M466"")"),96788)</f>
        <v>96788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IFERROR(__xludf.DUMMYFUNCTION("IMPORTRANGE(""https://docs.google.com/spreadsheets/d/1IYY_tgx_IHuhSq3AJ5eI5OnqOPBNLWSHKh2a30DoXe8/edit?usp=sharing"",""ตรัง!M467"")"),18409.6)</f>
        <v>18409.599999999999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IFERROR(__xludf.DUMMYFUNCTION("IMPORTRANGE(""https://docs.google.com/spreadsheets/d/1IYY_tgx_IHuhSq3AJ5eI5OnqOPBNLWSHKh2a30DoXe8/edit?usp=sharing"",""ตรัง!J468"")"),3514)</f>
        <v>3514</v>
      </c>
      <c r="K573" s="208">
        <f ca="1">IF(I573&gt;0,J573*100/I573,0)</f>
        <v>351.4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IFERROR(__xludf.DUMMYFUNCTION("IMPORTRANGE(""https://docs.google.com/spreadsheets/d/1IYY_tgx_IHuhSq3AJ5eI5OnqOPBNLWSHKh2a30DoXe8/edit?usp=sharing"",""ตรัง!I470"")"),0)</f>
        <v>0</v>
      </c>
      <c r="J575" s="204">
        <f ca="1">IFERROR(__xludf.DUMMYFUNCTION("IMPORTRANGE(""https://docs.google.com/spreadsheets/d/1IYY_tgx_IHuhSq3AJ5eI5OnqOPBNLWSHKh2a30DoXe8/edit?usp=sharing"",""ตรัง!J470"")"),3)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IFERROR(__xludf.DUMMYFUNCTION("IMPORTRANGE(""https://docs.google.com/spreadsheets/d/1IYY_tgx_IHuhSq3AJ5eI5OnqOPBNLWSHKh2a30DoXe8/edit?usp=sharing"",""ตรัง!I471"")"),0)</f>
        <v>0</v>
      </c>
      <c r="J576" s="204">
        <f ca="1">IFERROR(__xludf.DUMMYFUNCTION("IMPORTRANGE(""https://docs.google.com/spreadsheets/d/1IYY_tgx_IHuhSq3AJ5eI5OnqOPBNLWSHKh2a30DoXe8/edit?usp=sharing"",""ตรัง!J471"")"),143)</f>
        <v>143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IFERROR(__xludf.DUMMYFUNCTION("IMPORTRANGE(""https://docs.google.com/spreadsheets/d/1IYY_tgx_IHuhSq3AJ5eI5OnqOPBNLWSHKh2a30DoXe8/edit?usp=sharing"",""ตรัง!I472"")"),0)</f>
        <v>0</v>
      </c>
      <c r="J577" s="195">
        <f ca="1">IFERROR(__xludf.DUMMYFUNCTION("IMPORTRANGE(""https://docs.google.com/spreadsheets/d/1IYY_tgx_IHuhSq3AJ5eI5OnqOPBNLWSHKh2a30DoXe8/edit?usp=sharing"",""ตรัง!J472"")"),3371)</f>
        <v>3371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IFERROR(__xludf.DUMMYFUNCTION("IMPORTRANGE(""https://docs.google.com/spreadsheets/d/1IYY_tgx_IHuhSq3AJ5eI5OnqOPBNLWSHKh2a30DoXe8/edit?usp=sharing"",""ตรัง!I473"")"),0)</f>
        <v>0</v>
      </c>
      <c r="J578" s="204">
        <f ca="1">IFERROR(__xludf.DUMMYFUNCTION("IMPORTRANGE(""https://docs.google.com/spreadsheets/d/1IYY_tgx_IHuhSq3AJ5eI5OnqOPBNLWSHKh2a30DoXe8/edit?usp=sharing"",""ตรัง!J473"")"),0)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IFERROR(__xludf.DUMMYFUNCTION("IMPORTRANGE(""https://docs.google.com/spreadsheets/d/1IYY_tgx_IHuhSq3AJ5eI5OnqOPBNLWSHKh2a30DoXe8/edit?usp=sharing"",""ตรัง!I474"")"),0)</f>
        <v>0</v>
      </c>
      <c r="J579" s="204">
        <f ca="1">IFERROR(__xludf.DUMMYFUNCTION("IMPORTRANGE(""https://docs.google.com/spreadsheets/d/1IYY_tgx_IHuhSq3AJ5eI5OnqOPBNLWSHKh2a30DoXe8/edit?usp=sharing"",""ตรัง!J474"")"),0)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IFERROR(__xludf.DUMMYFUNCTION("IMPORTRANGE(""https://docs.google.com/spreadsheets/d/1IYY_tgx_IHuhSq3AJ5eI5OnqOPBNLWSHKh2a30DoXe8/edit?usp=sharing"",""ตรัง!L476"")"),0)</f>
        <v>0</v>
      </c>
      <c r="M581" s="168"/>
      <c r="N581" s="175">
        <f ca="1">IFERROR(__xludf.DUMMYFUNCTION("IMPORTRANGE(""https://docs.google.com/spreadsheets/d/1IYY_tgx_IHuhSq3AJ5eI5OnqOPBNLWSHKh2a30DoXe8/edit?usp=sharing"",""ตรัง!M476"")"),0)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5">
        <f ca="1">IFERROR(__xludf.DUMMYFUNCTION("IMPORTRANGE(""https://docs.google.com/spreadsheets/d/1IYY_tgx_IHuhSq3AJ5eI5OnqOPBNLWSHKh2a30DoXe8/edit?usp=sharing"",""ตรัง!M477"")"),0)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IFERROR(__xludf.DUMMYFUNCTION("IMPORTRANGE(""https://docs.google.com/spreadsheets/d/1IYY_tgx_IHuhSq3AJ5eI5OnqOPBNLWSHKh2a30DoXe8/edit?usp=sharing"",""ตรัง!L478"")"),0)</f>
        <v>0</v>
      </c>
      <c r="M583" s="175"/>
      <c r="N583" s="175">
        <f ca="1">IFERROR(__xludf.DUMMYFUNCTION("IMPORTRANGE(""https://docs.google.com/spreadsheets/d/1IYY_tgx_IHuhSq3AJ5eI5OnqOPBNLWSHKh2a30DoXe8/edit?usp=sharing"",""ตรัง!M478"")"),0)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IFERROR(__xludf.DUMMYFUNCTION("IMPORTRANGE(""https://docs.google.com/spreadsheets/d/1IYY_tgx_IHuhSq3AJ5eI5OnqOPBNLWSHKh2a30DoXe8/edit?usp=sharing"",""ตรัง!L479"")"),0)</f>
        <v>0</v>
      </c>
      <c r="M584" s="175"/>
      <c r="N584" s="175">
        <f ca="1">IFERROR(__xludf.DUMMYFUNCTION("IMPORTRANGE(""https://docs.google.com/spreadsheets/d/1IYY_tgx_IHuhSq3AJ5eI5OnqOPBNLWSHKh2a30DoXe8/edit?usp=sharing"",""ตรัง!M479"")"),0)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IFERROR(__xludf.DUMMYFUNCTION("IMPORTRANGE(""https://docs.google.com/spreadsheets/d/1IYY_tgx_IHuhSq3AJ5eI5OnqOPBNLWSHKh2a30DoXe8/edit?usp=sharing"",""ตรัง!M480"")"),0)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IFERROR(__xludf.DUMMYFUNCTION("IMPORTRANGE(""https://docs.google.com/spreadsheets/d/1IYY_tgx_IHuhSq3AJ5eI5OnqOPBNLWSHKh2a30DoXe8/edit?usp=sharing"",""ตรัง!M481"")"),0)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IFERROR(__xludf.DUMMYFUNCTION("IMPORTRANGE(""https://docs.google.com/spreadsheets/d/1IYY_tgx_IHuhSq3AJ5eI5OnqOPBNLWSHKh2a30DoXe8/edit?usp=sharing"",""ตรัง!M482"")"),0)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IFERROR(__xludf.DUMMYFUNCTION("IMPORTRANGE(""https://docs.google.com/spreadsheets/d/1IYY_tgx_IHuhSq3AJ5eI5OnqOPBNLWSHKh2a30DoXe8/edit?usp=sharing"",""ตรัง!M483"")"),0)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4">
        <f ca="1">IFERROR(__xludf.DUMMYFUNCTION("IMPORTRANGE(""https://docs.google.com/spreadsheets/d/1IYY_tgx_IHuhSq3AJ5eI5OnqOPBNLWSHKh2a30DoXe8/edit?usp=sharing"",""ตรัง!J484"")"),0)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4">
        <f ca="1">IFERROR(__xludf.DUMMYFUNCTION("IMPORTRANGE(""https://docs.google.com/spreadsheets/d/1IYY_tgx_IHuhSq3AJ5eI5OnqOPBNLWSHKh2a30DoXe8/edit?usp=sharing"",""ตรัง!J485"")"),0)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4">
        <f ca="1">IFERROR(__xludf.DUMMYFUNCTION("IMPORTRANGE(""https://docs.google.com/spreadsheets/d/1IYY_tgx_IHuhSq3AJ5eI5OnqOPBNLWSHKh2a30DoXe8/edit?usp=sharing"",""ตรัง!J486"")"),0)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4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4">
        <f ca="1">IFERROR(__xludf.DUMMYFUNCTION("IMPORTRANGE(""https://docs.google.com/spreadsheets/d/1IYY_tgx_IHuhSq3AJ5eI5OnqOPBNLWSHKh2a30DoXe8/edit?usp=sharing"",""ตรัง!J488"")"),0)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4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4">
        <f ca="1">IFERROR(__xludf.DUMMYFUNCTION("IMPORTRANGE(""https://docs.google.com/spreadsheets/d/1IYY_tgx_IHuhSq3AJ5eI5OnqOPBNLWSHKh2a30DoXe8/edit?usp=sharing"",""ตรัง!J490"")"),0)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IFERROR(__xludf.DUMMYFUNCTION("IMPORTRANGE(""https://docs.google.com/spreadsheets/d/1IYY_tgx_IHuhSq3AJ5eI5OnqOPBNLWSHKh2a30DoXe8/edit?usp=sharing"",""ตรัง!I491"")"),0)</f>
        <v>0</v>
      </c>
      <c r="J596" s="247">
        <f ca="1">IFERROR(__xludf.DUMMYFUNCTION("IMPORTRANGE(""https://docs.google.com/spreadsheets/d/1IYY_tgx_IHuhSq3AJ5eI5OnqOPBNLWSHKh2a30DoXe8/edit?usp=sharing"",""ตรัง!J491"")"),0)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4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IFERROR(__xludf.DUMMYFUNCTION("IMPORTRANGE(""https://docs.google.com/spreadsheets/d/1IYY_tgx_IHuhSq3AJ5eI5OnqOPBNLWSHKh2a30DoXe8/edit?usp=sharing"",""ตรัง!L492"")"),11750)</f>
        <v>11750</v>
      </c>
      <c r="M597" s="418"/>
      <c r="N597" s="418">
        <f ca="1">IFERROR(__xludf.DUMMYFUNCTION("IMPORTRANGE(""https://docs.google.com/spreadsheets/d/1IYY_tgx_IHuhSq3AJ5eI5OnqOPBNLWSHKh2a30DoXe8/edit?usp=sharing"",""ตรัง!M492"")"),6196.84)</f>
        <v>6196.84</v>
      </c>
      <c r="O597" s="418">
        <f t="shared" ref="O597:O601" ca="1" si="126">+IF(L597&gt;0,N597*100/L597,0)</f>
        <v>52.739063829787234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IFERROR(__xludf.DUMMYFUNCTION("IMPORTRANGE(""https://docs.google.com/spreadsheets/d/1IYY_tgx_IHuhSq3AJ5eI5OnqOPBNLWSHKh2a30DoXe8/edit?usp=sharing"",""ตรัง!L493"")"),0)</f>
        <v>0</v>
      </c>
      <c r="M598" s="168"/>
      <c r="N598" s="175">
        <f ca="1">IFERROR(__xludf.DUMMYFUNCTION("IMPORTRANGE(""https://docs.google.com/spreadsheets/d/1IYY_tgx_IHuhSq3AJ5eI5OnqOPBNLWSHKh2a30DoXe8/edit?usp=sharing"",""ตรัง!M493"")"),0)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IFERROR(__xludf.DUMMYFUNCTION("IMPORTRANGE(""https://docs.google.com/spreadsheets/d/1IYY_tgx_IHuhSq3AJ5eI5OnqOPBNLWSHKh2a30DoXe8/edit?usp=sharing"",""ตรัง!L494"")"),11750)</f>
        <v>11750</v>
      </c>
      <c r="M599" s="169"/>
      <c r="N599" s="175">
        <f ca="1">IFERROR(__xludf.DUMMYFUNCTION("IMPORTRANGE(""https://docs.google.com/spreadsheets/d/1IYY_tgx_IHuhSq3AJ5eI5OnqOPBNLWSHKh2a30DoXe8/edit?usp=sharing"",""ตรัง!M494"")"),6196.84)</f>
        <v>6196.84</v>
      </c>
      <c r="O599" s="175">
        <f t="shared" ca="1" si="126"/>
        <v>52.739063829787234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IFERROR(__xludf.DUMMYFUNCTION("IMPORTRANGE(""https://docs.google.com/spreadsheets/d/1IYY_tgx_IHuhSq3AJ5eI5OnqOPBNLWSHKh2a30DoXe8/edit?usp=sharing"",""ตรัง!L495"")"),0)</f>
        <v>0</v>
      </c>
      <c r="M600" s="175"/>
      <c r="N600" s="175">
        <f ca="1">IFERROR(__xludf.DUMMYFUNCTION("IMPORTRANGE(""https://docs.google.com/spreadsheets/d/1IYY_tgx_IHuhSq3AJ5eI5OnqOPBNLWSHKh2a30DoXe8/edit?usp=sharing"",""ตรัง!M495"")"),0)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IFERROR(__xludf.DUMMYFUNCTION("IMPORTRANGE(""https://docs.google.com/spreadsheets/d/1IYY_tgx_IHuhSq3AJ5eI5OnqOPBNLWSHKh2a30DoXe8/edit?usp=sharing"",""ตรัง!L496"")"),11750)</f>
        <v>11750</v>
      </c>
      <c r="M601" s="175"/>
      <c r="N601" s="175">
        <f ca="1">IFERROR(__xludf.DUMMYFUNCTION("IMPORTRANGE(""https://docs.google.com/spreadsheets/d/1IYY_tgx_IHuhSq3AJ5eI5OnqOPBNLWSHKh2a30DoXe8/edit?usp=sharing"",""ตรัง!M496"")"),6196.84)</f>
        <v>6196.84</v>
      </c>
      <c r="O601" s="175">
        <f t="shared" ca="1" si="126"/>
        <v>52.739063829787234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IFERROR(__xludf.DUMMYFUNCTION("IMPORTRANGE(""https://docs.google.com/spreadsheets/d/1IYY_tgx_IHuhSq3AJ5eI5OnqOPBNLWSHKh2a30DoXe8/edit?usp=sharing"",""ตรัง!M497"")"),0)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IFERROR(__xludf.DUMMYFUNCTION("IMPORTRANGE(""https://docs.google.com/spreadsheets/d/1IYY_tgx_IHuhSq3AJ5eI5OnqOPBNLWSHKh2a30DoXe8/edit?usp=sharing"",""ตรัง!M498"")"),0)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IFERROR(__xludf.DUMMYFUNCTION("IMPORTRANGE(""https://docs.google.com/spreadsheets/d/1IYY_tgx_IHuhSq3AJ5eI5OnqOPBNLWSHKh2a30DoXe8/edit?usp=sharing"",""ตรัง!M500"")"),6196.84)</f>
        <v>6196.84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IFERROR(__xludf.DUMMYFUNCTION("IMPORTRANGE(""https://docs.google.com/spreadsheets/d/1IYY_tgx_IHuhSq3AJ5eI5OnqOPBNLWSHKh2a30DoXe8/edit?usp=sharing"",""ตรัง!J502"")"),0)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IFERROR(__xludf.DUMMYFUNCTION("IMPORTRANGE(""https://docs.google.com/spreadsheets/d/1IYY_tgx_IHuhSq3AJ5eI5OnqOPBNLWSHKh2a30DoXe8/edit?usp=sharing"",""ตรัง!J503"")"),1)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IFERROR(__xludf.DUMMYFUNCTION("IMPORTRANGE(""https://docs.google.com/spreadsheets/d/1IYY_tgx_IHuhSq3AJ5eI5OnqOPBNLWSHKh2a30DoXe8/edit?usp=sharing"",""ตรัง!J166"")"),0)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IFERROR(__xludf.DUMMYFUNCTION("IMPORTRANGE(""https://docs.google.com/spreadsheets/d/1IYY_tgx_IHuhSq3AJ5eI5OnqOPBNLWSHKh2a30DoXe8/edit?usp=sharing"",""ตรัง!J166"")"),0)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IFERROR(__xludf.DUMMYFUNCTION("IMPORTRANGE(""https://docs.google.com/spreadsheets/d/1IYY_tgx_IHuhSq3AJ5eI5OnqOPBNLWSHKh2a30DoXe8/edit?usp=sharing"",""ตรัง!I506"")"),50)</f>
        <v>50</v>
      </c>
      <c r="J611" s="166">
        <f ca="1">IFERROR(__xludf.DUMMYFUNCTION("IMPORTRANGE(""https://docs.google.com/spreadsheets/d/1IYY_tgx_IHuhSq3AJ5eI5OnqOPBNLWSHKh2a30DoXe8/edit?usp=sharing"",""ตรัง!J506"")"),0)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IFERROR(__xludf.DUMMYFUNCTION("IMPORTRANGE(""https://docs.google.com/spreadsheets/d/1IYY_tgx_IHuhSq3AJ5eI5OnqOPBNLWSHKh2a30DoXe8/edit?usp=sharing"",""ตรัง!I507"")"),0)</f>
        <v>0</v>
      </c>
      <c r="J612" s="204">
        <f ca="1">IFERROR(__xludf.DUMMYFUNCTION("IMPORTRANGE(""https://docs.google.com/spreadsheets/d/1IYY_tgx_IHuhSq3AJ5eI5OnqOPBNLWSHKh2a30DoXe8/edit?usp=sharing"",""ตรัง!J507"")"),0)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IFERROR(__xludf.DUMMYFUNCTION("IMPORTRANGE(""https://docs.google.com/spreadsheets/d/1IYY_tgx_IHuhSq3AJ5eI5OnqOPBNLWSHKh2a30DoXe8/edit?usp=sharing"",""ตรัง!I508"")"),0)</f>
        <v>0</v>
      </c>
      <c r="J613" s="204">
        <f ca="1">IFERROR(__xludf.DUMMYFUNCTION("IMPORTRANGE(""https://docs.google.com/spreadsheets/d/1IYY_tgx_IHuhSq3AJ5eI5OnqOPBNLWSHKh2a30DoXe8/edit?usp=sharing"",""ตรัง!J508"")"),0)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IFERROR(__xludf.DUMMYFUNCTION("IMPORTRANGE(""https://docs.google.com/spreadsheets/d/1IYY_tgx_IHuhSq3AJ5eI5OnqOPBNLWSHKh2a30DoXe8/edit?usp=sharing"",""ตรัง!I509"")"),0)</f>
        <v>0</v>
      </c>
      <c r="J614" s="204">
        <f ca="1">IFERROR(__xludf.DUMMYFUNCTION("IMPORTRANGE(""https://docs.google.com/spreadsheets/d/1IYY_tgx_IHuhSq3AJ5eI5OnqOPBNLWSHKh2a30DoXe8/edit?usp=sharing"",""ตรัง!J509"")"),0)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IFERROR(__xludf.DUMMYFUNCTION("IMPORTRANGE(""https://docs.google.com/spreadsheets/d/1IYY_tgx_IHuhSq3AJ5eI5OnqOPBNLWSHKh2a30DoXe8/edit?usp=sharing"",""ตรัง!I510"")"),0)</f>
        <v>0</v>
      </c>
      <c r="J615" s="204">
        <f ca="1">IFERROR(__xludf.DUMMYFUNCTION("IMPORTRANGE(""https://docs.google.com/spreadsheets/d/1IYY_tgx_IHuhSq3AJ5eI5OnqOPBNLWSHKh2a30DoXe8/edit?usp=sharing"",""ตรัง!J510"")"),0)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IFERROR(__xludf.DUMMYFUNCTION("IMPORTRANGE(""https://docs.google.com/spreadsheets/d/1IYY_tgx_IHuhSq3AJ5eI5OnqOPBNLWSHKh2a30DoXe8/edit?usp=sharing"",""ตรัง!I511"")"),0)</f>
        <v>0</v>
      </c>
      <c r="J616" s="204">
        <f ca="1">IFERROR(__xludf.DUMMYFUNCTION("IMPORTRANGE(""https://docs.google.com/spreadsheets/d/1IYY_tgx_IHuhSq3AJ5eI5OnqOPBNLWSHKh2a30DoXe8/edit?usp=sharing"",""ตรัง!J511"")"),0)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IFERROR(__xludf.DUMMYFUNCTION("IMPORTRANGE(""https://docs.google.com/spreadsheets/d/1IYY_tgx_IHuhSq3AJ5eI5OnqOPBNLWSHKh2a30DoXe8/edit?usp=sharing"",""ตรัง!I512"")"),0)</f>
        <v>0</v>
      </c>
      <c r="J617" s="194">
        <f ca="1">IFERROR(__xludf.DUMMYFUNCTION("IMPORTRANGE(""https://docs.google.com/spreadsheets/d/1IYY_tgx_IHuhSq3AJ5eI5OnqOPBNLWSHKh2a30DoXe8/edit?usp=sharing"",""ตรัง!J512"")"),0)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IFERROR(__xludf.DUMMYFUNCTION("IMPORTRANGE(""https://docs.google.com/spreadsheets/d/1IYY_tgx_IHuhSq3AJ5eI5OnqOPBNLWSHKh2a30DoXe8/edit?usp=sharing"",""ตรัง!I513"")"),0)</f>
        <v>0</v>
      </c>
      <c r="J618" s="195">
        <f ca="1">IFERROR(__xludf.DUMMYFUNCTION("IMPORTRANGE(""https://docs.google.com/spreadsheets/d/1IYY_tgx_IHuhSq3AJ5eI5OnqOPBNLWSHKh2a30DoXe8/edit?usp=sharing"",""ตรัง!J513"")"),0)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IFERROR(__xludf.DUMMYFUNCTION("IMPORTRANGE(""https://docs.google.com/spreadsheets/d/1IYY_tgx_IHuhSq3AJ5eI5OnqOPBNLWSHKh2a30DoXe8/edit?usp=sharing"",""ตรัง!I514"")"),0)</f>
        <v>0</v>
      </c>
      <c r="J619" s="195">
        <f ca="1">IFERROR(__xludf.DUMMYFUNCTION("IMPORTRANGE(""https://docs.google.com/spreadsheets/d/1IYY_tgx_IHuhSq3AJ5eI5OnqOPBNLWSHKh2a30DoXe8/edit?usp=sharing"",""ตรัง!J514"")"),0)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IFERROR(__xludf.DUMMYFUNCTION("IMPORTRANGE(""https://docs.google.com/spreadsheets/d/1IYY_tgx_IHuhSq3AJ5eI5OnqOPBNLWSHKh2a30DoXe8/edit?usp=sharing"",""ตรัง!I515"")"),0)</f>
        <v>0</v>
      </c>
      <c r="J620" s="209">
        <f ca="1">IFERROR(__xludf.DUMMYFUNCTION("IMPORTRANGE(""https://docs.google.com/spreadsheets/d/1IYY_tgx_IHuhSq3AJ5eI5OnqOPBNLWSHKh2a30DoXe8/edit?usp=sharing"",""ตรัง!J515"")"),0)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IFERROR(__xludf.DUMMYFUNCTION("IMPORTRANGE(""https://docs.google.com/spreadsheets/d/1IYY_tgx_IHuhSq3AJ5eI5OnqOPBNLWSHKh2a30DoXe8/edit?usp=sharing"",""ตรัง!I516"")"),0)</f>
        <v>0</v>
      </c>
      <c r="J621" s="209">
        <f ca="1">IFERROR(__xludf.DUMMYFUNCTION("IMPORTRANGE(""https://docs.google.com/spreadsheets/d/1IYY_tgx_IHuhSq3AJ5eI5OnqOPBNLWSHKh2a30DoXe8/edit?usp=sharing"",""ตรัง!J516"")"),0)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IFERROR(__xludf.DUMMYFUNCTION("IMPORTRANGE(""https://docs.google.com/spreadsheets/d/1IYY_tgx_IHuhSq3AJ5eI5OnqOPBNLWSHKh2a30DoXe8/edit?usp=sharing"",""ตรัง!I517"")"),0)</f>
        <v>0</v>
      </c>
      <c r="J622" s="195">
        <f ca="1">IFERROR(__xludf.DUMMYFUNCTION("IMPORTRANGE(""https://docs.google.com/spreadsheets/d/1IYY_tgx_IHuhSq3AJ5eI5OnqOPBNLWSHKh2a30DoXe8/edit?usp=sharing"",""ตรัง!J517"")"),0)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IFERROR(__xludf.DUMMYFUNCTION("IMPORTRANGE(""https://docs.google.com/spreadsheets/d/1IYY_tgx_IHuhSq3AJ5eI5OnqOPBNLWSHKh2a30DoXe8/edit?usp=sharing"",""ตรัง!I518"")"),0)</f>
        <v>0</v>
      </c>
      <c r="J623" s="195">
        <f ca="1">IFERROR(__xludf.DUMMYFUNCTION("IMPORTRANGE(""https://docs.google.com/spreadsheets/d/1IYY_tgx_IHuhSq3AJ5eI5OnqOPBNLWSHKh2a30DoXe8/edit?usp=sharing"",""ตรัง!J518"")"),0)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IFERROR(__xludf.DUMMYFUNCTION("IMPORTRANGE(""https://docs.google.com/spreadsheets/d/1IYY_tgx_IHuhSq3AJ5eI5OnqOPBNLWSHKh2a30DoXe8/edit?usp=sharing"",""ตรัง!I519"")"),0)</f>
        <v>0</v>
      </c>
      <c r="J624" s="194">
        <f ca="1">IFERROR(__xludf.DUMMYFUNCTION("IMPORTRANGE(""https://docs.google.com/spreadsheets/d/1IYY_tgx_IHuhSq3AJ5eI5OnqOPBNLWSHKh2a30DoXe8/edit?usp=sharing"",""ตรัง!J519"")"),0)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IFERROR(__xludf.DUMMYFUNCTION("IMPORTRANGE(""https://docs.google.com/spreadsheets/d/1IYY_tgx_IHuhSq3AJ5eI5OnqOPBNLWSHKh2a30DoXe8/edit?usp=sharing"",""ตรัง!I520"")"),0)</f>
        <v>0</v>
      </c>
      <c r="J625" s="195">
        <f ca="1">IFERROR(__xludf.DUMMYFUNCTION("IMPORTRANGE(""https://docs.google.com/spreadsheets/d/1IYY_tgx_IHuhSq3AJ5eI5OnqOPBNLWSHKh2a30DoXe8/edit?usp=sharing"",""ตรัง!J520"")"),0)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IFERROR(__xludf.DUMMYFUNCTION("IMPORTRANGE(""https://docs.google.com/spreadsheets/d/1IYY_tgx_IHuhSq3AJ5eI5OnqOPBNLWSHKh2a30DoXe8/edit?usp=sharing"",""ตรัง!I521"")"),0)</f>
        <v>0</v>
      </c>
      <c r="J626" s="195">
        <f ca="1">IFERROR(__xludf.DUMMYFUNCTION("IMPORTRANGE(""https://docs.google.com/spreadsheets/d/1IYY_tgx_IHuhSq3AJ5eI5OnqOPBNLWSHKh2a30DoXe8/edit?usp=sharing"",""ตรัง!J521"")"),0)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IFERROR(__xludf.DUMMYFUNCTION("IMPORTRANGE(""https://docs.google.com/spreadsheets/d/1IYY_tgx_IHuhSq3AJ5eI5OnqOPBNLWSHKh2a30DoXe8/edit?usp=sharing"",""ตรัง!J523"")"),1120470.66)</f>
        <v>1120470.6599999999</v>
      </c>
      <c r="K628" s="348">
        <f t="shared" ref="K628:K635" ca="1" si="129">IF(I628&gt;0,J628*100/I628,0)</f>
        <v>66.989746456092817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IFERROR(__xludf.DUMMYFUNCTION("IMPORTRANGE(""https://docs.google.com/spreadsheets/d/1IYY_tgx_IHuhSq3AJ5eI5OnqOPBNLWSHKh2a30DoXe8/edit?usp=sharing"",""ตรัง!J524"")"),68)</f>
        <v>68</v>
      </c>
      <c r="K629" s="348">
        <f t="shared" ca="1" si="129"/>
        <v>66.666666666666671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IFERROR(__xludf.DUMMYFUNCTION("IMPORTRANGE(""https://docs.google.com/spreadsheets/d/1IYY_tgx_IHuhSq3AJ5eI5OnqOPBNLWSHKh2a30DoXe8/edit?usp=sharing"",""ตรัง!J525"")"),743037.26)</f>
        <v>743037.26</v>
      </c>
      <c r="K630" s="348">
        <f t="shared" ca="1" si="129"/>
        <v>30.191637231838264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IFERROR(__xludf.DUMMYFUNCTION("IMPORTRANGE(""https://docs.google.com/spreadsheets/d/1IYY_tgx_IHuhSq3AJ5eI5OnqOPBNLWSHKh2a30DoXe8/edit?usp=sharing"",""ตรัง!J526"")"),63)</f>
        <v>63</v>
      </c>
      <c r="K631" s="348">
        <f t="shared" ca="1" si="129"/>
        <v>70.786516853932582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IFERROR(__xludf.DUMMYFUNCTION("IMPORTRANGE(""https://docs.google.com/spreadsheets/d/1IYY_tgx_IHuhSq3AJ5eI5OnqOPBNLWSHKh2a30DoXe8/edit?usp=sharing"",""ตรัง!J529"")"),1200000)</f>
        <v>1200000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IFERROR(__xludf.DUMMYFUNCTION("IMPORTRANGE(""https://docs.google.com/spreadsheets/d/1IYY_tgx_IHuhSq3AJ5eI5OnqOPBNLWSHKh2a30DoXe8/edit?usp=sharing"",""ตรัง!I530"")"),24)</f>
        <v>24</v>
      </c>
      <c r="J635" s="518">
        <f ca="1">IFERROR(__xludf.DUMMYFUNCTION("IMPORTRANGE(""https://docs.google.com/spreadsheets/d/1IYY_tgx_IHuhSq3AJ5eI5OnqOPBNLWSHKh2a30DoXe8/edit?usp=sharing"",""ตรัง!J530"")"),25)</f>
        <v>25</v>
      </c>
      <c r="K635" s="493">
        <f t="shared" ca="1" si="129"/>
        <v>104.16666666666667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IFERROR(__xludf.DUMMYFUNCTION("IMPORTRANGE(""https://docs.google.com/spreadsheets/d/1IYY_tgx_IHuhSq3AJ5eI5OnqOPBNLWSHKh2a30DoXe8/edit?usp=sharing"",""ตรัง!J541"")"),0)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IFERROR(__xludf.DUMMYFUNCTION("IMPORTRANGE(""https://docs.google.com/spreadsheets/d/1IYY_tgx_IHuhSq3AJ5eI5OnqOPBNLWSHKh2a30DoXe8/edit?usp=sharing"",""ตรัง!J542"")"),0)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IFERROR(__xludf.DUMMYFUNCTION("IMPORTRANGE(""https://docs.google.com/spreadsheets/d/1IYY_tgx_IHuhSq3AJ5eI5OnqOPBNLWSHKh2a30DoXe8/edit?usp=sharing"",""ตรัง!I543"")"),0)</f>
        <v>0</v>
      </c>
      <c r="J648" s="547">
        <f ca="1">IFERROR(__xludf.DUMMYFUNCTION("IMPORTRANGE(""https://docs.google.com/spreadsheets/d/1IYY_tgx_IHuhSq3AJ5eI5OnqOPBNLWSHKh2a30DoXe8/edit?usp=sharing"",""ตรัง!J543"")"),0)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IFERROR(__xludf.DUMMYFUNCTION("IMPORTRANGE(""https://docs.google.com/spreadsheets/d/1IYY_tgx_IHuhSq3AJ5eI5OnqOPBNLWSHKh2a30DoXe8/edit?usp=sharing"",""ตรัง!L543"")"),0)</f>
        <v>0</v>
      </c>
      <c r="M648" s="534"/>
      <c r="N648" s="549">
        <f ca="1">IFERROR(__xludf.DUMMYFUNCTION("IMPORTRANGE(""https://docs.google.com/spreadsheets/d/1IYY_tgx_IHuhSq3AJ5eI5OnqOPBNLWSHKh2a30DoXe8/edit?usp=sharing"",""ตรัง!M543"")"),0)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IFERROR(__xludf.DUMMYFUNCTION("IMPORTRANGE(""https://docs.google.com/spreadsheets/d/1IYY_tgx_IHuhSq3AJ5eI5OnqOPBNLWSHKh2a30DoXe8/edit?usp=sharing"",""ตรัง!I544"")"),0)</f>
        <v>0</v>
      </c>
      <c r="J649" s="547">
        <f ca="1">IFERROR(__xludf.DUMMYFUNCTION("IMPORTRANGE(""https://docs.google.com/spreadsheets/d/1IYY_tgx_IHuhSq3AJ5eI5OnqOPBNLWSHKh2a30DoXe8/edit?usp=sharing"",""ตรัง!J544"")"),0)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IFERROR(__xludf.DUMMYFUNCTION("IMPORTRANGE(""https://docs.google.com/spreadsheets/d/1IYY_tgx_IHuhSq3AJ5eI5OnqOPBNLWSHKh2a30DoXe8/edit?usp=sharing"",""ตรัง!L544"")"),0)</f>
        <v>0</v>
      </c>
      <c r="M649" s="534"/>
      <c r="N649" s="549">
        <f ca="1">IFERROR(__xludf.DUMMYFUNCTION("IMPORTRANGE(""https://docs.google.com/spreadsheets/d/1IYY_tgx_IHuhSq3AJ5eI5OnqOPBNLWSHKh2a30DoXe8/edit?usp=sharing"",""ตรัง!M544"")"),0)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IFERROR(__xludf.DUMMYFUNCTION("IMPORTRANGE(""https://docs.google.com/spreadsheets/d/1IYY_tgx_IHuhSq3AJ5eI5OnqOPBNLWSHKh2a30DoXe8/edit?usp=sharing"",""ตรัง!I545"")"),0)</f>
        <v>0</v>
      </c>
      <c r="J650" s="547">
        <f ca="1">IFERROR(__xludf.DUMMYFUNCTION("IMPORTRANGE(""https://docs.google.com/spreadsheets/d/1IYY_tgx_IHuhSq3AJ5eI5OnqOPBNLWSHKh2a30DoXe8/edit?usp=sharing"",""ตรัง!J545"")"),0)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IFERROR(__xludf.DUMMYFUNCTION("IMPORTRANGE(""https://docs.google.com/spreadsheets/d/1IYY_tgx_IHuhSq3AJ5eI5OnqOPBNLWSHKh2a30DoXe8/edit?usp=sharing"",""ตรัง!L545"")"),0)</f>
        <v>0</v>
      </c>
      <c r="M650" s="534"/>
      <c r="N650" s="549">
        <f ca="1">IFERROR(__xludf.DUMMYFUNCTION("IMPORTRANGE(""https://docs.google.com/spreadsheets/d/1IYY_tgx_IHuhSq3AJ5eI5OnqOPBNLWSHKh2a30DoXe8/edit?usp=sharing"",""ตรัง!M545"")"),0)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IFERROR(__xludf.DUMMYFUNCTION("IMPORTRANGE(""https://docs.google.com/spreadsheets/d/1IYY_tgx_IHuhSq3AJ5eI5OnqOPBNLWSHKh2a30DoXe8/edit?usp=sharing"",""ตรัง!I546"")"),0)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IFERROR(__xludf.DUMMYFUNCTION("IMPORTRANGE(""https://docs.google.com/spreadsheets/d/1IYY_tgx_IHuhSq3AJ5eI5OnqOPBNLWSHKh2a30DoXe8/edit?usp=sharing"",""ตรัง!L546"")"),0)</f>
        <v>0</v>
      </c>
      <c r="M651" s="534"/>
      <c r="N651" s="549">
        <f ca="1">IFERROR(__xludf.DUMMYFUNCTION("IMPORTRANGE(""https://docs.google.com/spreadsheets/d/1IYY_tgx_IHuhSq3AJ5eI5OnqOPBNLWSHKh2a30DoXe8/edit?usp=sharing"",""ตรัง!M546"")"),0)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IFERROR(__xludf.DUMMYFUNCTION("IMPORTRANGE(""https://docs.google.com/spreadsheets/d/1IYY_tgx_IHuhSq3AJ5eI5OnqOPBNLWSHKh2a30DoXe8/edit?usp=sharing"",""ตรัง!J547"")"),0)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IFERROR(__xludf.DUMMYFUNCTION("IMPORTRANGE(""https://docs.google.com/spreadsheets/d/1IYY_tgx_IHuhSq3AJ5eI5OnqOPBNLWSHKh2a30DoXe8/edit?usp=sharing"",""ตรัง!J548"")"),0)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IFERROR(__xludf.DUMMYFUNCTION("IMPORTRANGE(""https://docs.google.com/spreadsheets/d/1IYY_tgx_IHuhSq3AJ5eI5OnqOPBNLWSHKh2a30DoXe8/edit?usp=sharing"",""ตรัง!J550"")"),0)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IFERROR(__xludf.DUMMYFUNCTION("IMPORTRANGE(""https://docs.google.com/spreadsheets/d/1IYY_tgx_IHuhSq3AJ5eI5OnqOPBNLWSHKh2a30DoXe8/edit?usp=sharing"",""ตรัง!J551"")"),0)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IFERROR(__xludf.DUMMYFUNCTION("IMPORTRANGE(""https://docs.google.com/spreadsheets/d/1IYY_tgx_IHuhSq3AJ5eI5OnqOPBNLWSHKh2a30DoXe8/edit?usp=sharing"",""ตรัง!J552"")"),0)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IFERROR(__xludf.DUMMYFUNCTION("IMPORTRANGE(""https://docs.google.com/spreadsheets/d/1IYY_tgx_IHuhSq3AJ5eI5OnqOPBNLWSHKh2a30DoXe8/edit?usp=sharing"",""ตรัง!J553"")"),0)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IFERROR(__xludf.DUMMYFUNCTION("IMPORTRANGE(""https://docs.google.com/spreadsheets/d/1IYY_tgx_IHuhSq3AJ5eI5OnqOPBNLWSHKh2a30DoXe8/edit?usp=sharing"",""ตรัง!J554"")"),0)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IFERROR(__xludf.DUMMYFUNCTION("IMPORTRANGE(""https://docs.google.com/spreadsheets/d/1IYY_tgx_IHuhSq3AJ5eI5OnqOPBNLWSHKh2a30DoXe8/edit?usp=sharing"",""ตรัง!J555"")"),0)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IFERROR(__xludf.DUMMYFUNCTION("IMPORTRANGE(""https://docs.google.com/spreadsheets/d/1IYY_tgx_IHuhSq3AJ5eI5OnqOPBNLWSHKh2a30DoXe8/edit?usp=sharing"",""ตรัง!J556"")"),0)</f>
        <v>0</v>
      </c>
      <c r="K661" s="548"/>
      <c r="L661" s="535">
        <f ca="1">IFERROR(__xludf.DUMMYFUNCTION("IMPORTRANGE(""https://docs.google.com/spreadsheets/d/1IYY_tgx_IHuhSq3AJ5eI5OnqOPBNLWSHKh2a30DoXe8/edit?usp=sharing"",""ตรัง!L556"")"),0)</f>
        <v>0</v>
      </c>
      <c r="M661" s="534"/>
      <c r="N661" s="549">
        <f ca="1">IFERROR(__xludf.DUMMYFUNCTION("IMPORTRANGE(""https://docs.google.com/spreadsheets/d/1IYY_tgx_IHuhSq3AJ5eI5OnqOPBNLWSHKh2a30DoXe8/edit?usp=sharing"",""ตรัง!M556"")"),0)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IFERROR(__xludf.DUMMYFUNCTION("IMPORTRANGE(""https://docs.google.com/spreadsheets/d/1IYY_tgx_IHuhSq3AJ5eI5OnqOPBNLWSHKh2a30DoXe8/edit?usp=sharing"",""ตรัง!J557"")"),0)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IFERROR(__xludf.DUMMYFUNCTION("IMPORTRANGE(""https://docs.google.com/spreadsheets/d/1IYY_tgx_IHuhSq3AJ5eI5OnqOPBNLWSHKh2a30DoXe8/edit?usp=sharing"",""ตรัง!I558"")"),0)</f>
        <v>0</v>
      </c>
      <c r="J663" s="547">
        <f ca="1">IFERROR(__xludf.DUMMYFUNCTION("IMPORTRANGE(""https://docs.google.com/spreadsheets/d/1IYY_tgx_IHuhSq3AJ5eI5OnqOPBNLWSHKh2a30DoXe8/edit?usp=sharing"",""ตรัง!J558"")"),0)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IFERROR(__xludf.DUMMYFUNCTION("IMPORTRANGE(""https://docs.google.com/spreadsheets/d/1IYY_tgx_IHuhSq3AJ5eI5OnqOPBNLWSHKh2a30DoXe8/edit?usp=sharing"",""ตรัง!I560"")"),0)</f>
        <v>0</v>
      </c>
      <c r="J665" s="547">
        <f ca="1">IFERROR(__xludf.DUMMYFUNCTION("IMPORTRANGE(""https://docs.google.com/spreadsheets/d/1IYY_tgx_IHuhSq3AJ5eI5OnqOPBNLWSHKh2a30DoXe8/edit?usp=sharing"",""ตรัง!J560"")"),0)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IFERROR(__xludf.DUMMYFUNCTION("IMPORTRANGE(""https://docs.google.com/spreadsheets/d/1IYY_tgx_IHuhSq3AJ5eI5OnqOPBNLWSHKh2a30DoXe8/edit?usp=sharing"",""ตรัง!L560"")"),0)</f>
        <v>0</v>
      </c>
      <c r="M665" s="534"/>
      <c r="N665" s="549">
        <f ca="1">IFERROR(__xludf.DUMMYFUNCTION("IMPORTRANGE(""https://docs.google.com/spreadsheets/d/1IYY_tgx_IHuhSq3AJ5eI5OnqOPBNLWSHKh2a30DoXe8/edit?usp=sharing"",""ตรัง!M560"")"),0)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IFERROR(__xludf.DUMMYFUNCTION("IMPORTRANGE(""https://docs.google.com/spreadsheets/d/1IYY_tgx_IHuhSq3AJ5eI5OnqOPBNLWSHKh2a30DoXe8/edit?usp=sharing"",""ตรัง!J561"")"),0)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IFERROR(__xludf.DUMMYFUNCTION("IMPORTRANGE(""https://docs.google.com/spreadsheets/d/1IYY_tgx_IHuhSq3AJ5eI5OnqOPBNLWSHKh2a30DoXe8/edit?usp=sharing"",""ตรัง!J562"")"),0)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IFERROR(__xludf.DUMMYFUNCTION("IMPORTRANGE(""https://docs.google.com/spreadsheets/d/1IYY_tgx_IHuhSq3AJ5eI5OnqOPBNLWSHKh2a30DoXe8/edit?usp=sharing"",""ตรัง!I563"")"),0)</f>
        <v>0</v>
      </c>
      <c r="J668" s="547">
        <f ca="1">IFERROR(__xludf.DUMMYFUNCTION("IMPORTRANGE(""https://docs.google.com/spreadsheets/d/1IYY_tgx_IHuhSq3AJ5eI5OnqOPBNLWSHKh2a30DoXe8/edit?usp=sharing"",""ตรัง!J563"")"),0)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IFERROR(__xludf.DUMMYFUNCTION("IMPORTRANGE(""https://docs.google.com/spreadsheets/d/1IYY_tgx_IHuhSq3AJ5eI5OnqOPBNLWSHKh2a30DoXe8/edit?usp=sharing"",""ตรัง!L563"")"),0)</f>
        <v>0</v>
      </c>
      <c r="M668" s="534"/>
      <c r="N668" s="549">
        <f ca="1">IFERROR(__xludf.DUMMYFUNCTION("IMPORTRANGE(""https://docs.google.com/spreadsheets/d/1IYY_tgx_IHuhSq3AJ5eI5OnqOPBNLWSHKh2a30DoXe8/edit?usp=sharing"",""ตรัง!M563"")"),0)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IFERROR(__xludf.DUMMYFUNCTION("IMPORTRANGE(""https://docs.google.com/spreadsheets/d/1IYY_tgx_IHuhSq3AJ5eI5OnqOPBNLWSHKh2a30DoXe8/edit?usp=sharing"",""ตรัง!J564"")"),0)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IFERROR(__xludf.DUMMYFUNCTION("IMPORTRANGE(""https://docs.google.com/spreadsheets/d/1IYY_tgx_IHuhSq3AJ5eI5OnqOPBNLWSHKh2a30DoXe8/edit?usp=sharing"",""ตรัง!J565"")"),0)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IFERROR(__xludf.DUMMYFUNCTION("IMPORTRANGE(""https://docs.google.com/spreadsheets/d/1IYY_tgx_IHuhSq3AJ5eI5OnqOPBNLWSHKh2a30DoXe8/edit?usp=sharing"",""ตรัง!I566"")"),0)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IFERROR(__xludf.DUMMYFUNCTION("IMPORTRANGE(""https://docs.google.com/spreadsheets/d/1IYY_tgx_IHuhSq3AJ5eI5OnqOPBNLWSHKh2a30DoXe8/edit?usp=sharing"",""ตรัง!L566"")"),0)</f>
        <v>0</v>
      </c>
      <c r="M671" s="534"/>
      <c r="N671" s="549">
        <f ca="1">IFERROR(__xludf.DUMMYFUNCTION("IMPORTRANGE(""https://docs.google.com/spreadsheets/d/1IYY_tgx_IHuhSq3AJ5eI5OnqOPBNLWSHKh2a30DoXe8/edit?usp=sharing"",""ตรัง!M566"")"),0)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IFERROR(__xludf.DUMMYFUNCTION("IMPORTRANGE(""https://docs.google.com/spreadsheets/d/1IYY_tgx_IHuhSq3AJ5eI5OnqOPBNLWSHKh2a30DoXe8/edit?usp=sharing"",""ตรัง!J567"")"),0)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IFERROR(__xludf.DUMMYFUNCTION("IMPORTRANGE(""https://docs.google.com/spreadsheets/d/1IYY_tgx_IHuhSq3AJ5eI5OnqOPBNLWSHKh2a30DoXe8/edit?usp=sharing"",""ตรัง!J568"")"),0)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IFERROR(__xludf.DUMMYFUNCTION("IMPORTRANGE(""https://docs.google.com/spreadsheets/d/1IYY_tgx_IHuhSq3AJ5eI5OnqOPBNLWSHKh2a30DoXe8/edit?usp=sharing"",""ตรัง!J569"")"),0)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IFERROR(__xludf.DUMMYFUNCTION("IMPORTRANGE(""https://docs.google.com/spreadsheets/d/1IYY_tgx_IHuhSq3AJ5eI5OnqOPBNLWSHKh2a30DoXe8/edit?usp=sharing"",""ตรัง!J570"")"),0)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IFERROR(__xludf.DUMMYFUNCTION("IMPORTRANGE(""https://docs.google.com/spreadsheets/d/1IYY_tgx_IHuhSq3AJ5eI5OnqOPBNLWSHKh2a30DoXe8/edit?usp=sharing"",""ตรัง!J571"")"),0)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IFERROR(__xludf.DUMMYFUNCTION("IMPORTRANGE(""https://docs.google.com/spreadsheets/d/1IYY_tgx_IHuhSq3AJ5eI5OnqOPBNLWSHKh2a30DoXe8/edit?usp=sharing"",""ตรัง!J572"")"),0)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266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4488096</v>
      </c>
      <c r="M8" s="23">
        <f t="shared" ca="1" si="0"/>
        <v>3567104.76</v>
      </c>
      <c r="N8" s="23">
        <f t="shared" ca="1" si="0"/>
        <v>3702247.69</v>
      </c>
      <c r="O8" s="22">
        <f t="shared" ref="O8:O16" ca="1" si="1">IF(L8&gt;0,N8*100/L8,0)</f>
        <v>82.490385455213072</v>
      </c>
      <c r="P8" s="22">
        <f t="shared" ref="P8:P16" ca="1" si="2">IF(M8&gt;0,N8*100/M8,0)</f>
        <v>103.7885887601462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4488096</v>
      </c>
      <c r="M10" s="30">
        <f t="shared" ca="1" si="4"/>
        <v>3567104.76</v>
      </c>
      <c r="N10" s="30">
        <f t="shared" ca="1" si="4"/>
        <v>3702247.69</v>
      </c>
      <c r="O10" s="29">
        <f t="shared" ca="1" si="1"/>
        <v>82.490385455213072</v>
      </c>
      <c r="P10" s="29">
        <f t="shared" ca="1" si="2"/>
        <v>103.7885887601462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4289796</v>
      </c>
      <c r="M12" s="38">
        <f t="shared" ca="1" si="6"/>
        <v>3368804.76</v>
      </c>
      <c r="N12" s="38">
        <f t="shared" ca="1" si="6"/>
        <v>3503947.69</v>
      </c>
      <c r="O12" s="38">
        <f t="shared" ca="1" si="1"/>
        <v>81.680986461827089</v>
      </c>
      <c r="P12" s="38">
        <f t="shared" ca="1" si="2"/>
        <v>104.01159876062394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1872200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2417596</v>
      </c>
      <c r="M14" s="38">
        <f t="shared" si="8"/>
        <v>0</v>
      </c>
      <c r="N14" s="38">
        <f t="shared" ca="1" si="8"/>
        <v>773883.86</v>
      </c>
      <c r="O14" s="41">
        <f t="shared" ca="1" si="1"/>
        <v>32.010470732082617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3276665</v>
      </c>
      <c r="M18" s="23">
        <f t="shared" ca="1" si="11"/>
        <v>3567104.76</v>
      </c>
      <c r="N18" s="23">
        <f t="shared" ca="1" si="11"/>
        <v>2928363.83</v>
      </c>
      <c r="O18" s="22">
        <f t="shared" ref="O18:O20" ca="1" si="12">IF(L18&gt;0,N18*100/L18,0)</f>
        <v>89.370253901451633</v>
      </c>
      <c r="P18" s="22">
        <f t="shared" ref="P18:P26" ca="1" si="13">IF(M18&gt;0,N18*100/M18,0)</f>
        <v>82.093575238872447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3276665</v>
      </c>
      <c r="M20" s="30">
        <f t="shared" ca="1" si="15"/>
        <v>3567104.76</v>
      </c>
      <c r="N20" s="30">
        <f t="shared" ca="1" si="15"/>
        <v>2928363.83</v>
      </c>
      <c r="O20" s="29">
        <f t="shared" ca="1" si="12"/>
        <v>89.370253901451633</v>
      </c>
      <c r="P20" s="29">
        <f t="shared" ca="1" si="13"/>
        <v>82.093575238872447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3078365</v>
      </c>
      <c r="M22" s="42">
        <f t="shared" ca="1" si="18"/>
        <v>3368804.76</v>
      </c>
      <c r="N22" s="41">
        <f t="shared" ca="1" si="18"/>
        <v>2730063.83</v>
      </c>
      <c r="O22" s="41">
        <f t="shared" ca="1" si="17"/>
        <v>88.685514225895886</v>
      </c>
      <c r="P22" s="41">
        <f t="shared" ca="1" si="13"/>
        <v>81.039538486047505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1872200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1206165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1211431</v>
      </c>
      <c r="M28" s="23">
        <f t="shared" si="23"/>
        <v>0</v>
      </c>
      <c r="N28" s="23">
        <f t="shared" ca="1" si="23"/>
        <v>773883.86</v>
      </c>
      <c r="O28" s="22">
        <f t="shared" ref="O28:O30" ca="1" si="24">IF(L28&gt;0,N28*100/L28,0)</f>
        <v>63.881794340742481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1211431</v>
      </c>
      <c r="M30" s="30">
        <f t="shared" si="27"/>
        <v>0</v>
      </c>
      <c r="N30" s="30">
        <f t="shared" ca="1" si="27"/>
        <v>773883.86</v>
      </c>
      <c r="O30" s="29">
        <f t="shared" ca="1" si="24"/>
        <v>63.881794340742481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1211431</v>
      </c>
      <c r="M32" s="41">
        <f t="shared" si="30"/>
        <v>0</v>
      </c>
      <c r="N32" s="41">
        <f t="shared" ca="1" si="30"/>
        <v>773883.86</v>
      </c>
      <c r="O32" s="41">
        <f t="shared" ca="1" si="29"/>
        <v>63.881794340742481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1211431</v>
      </c>
      <c r="M34" s="41">
        <f t="shared" si="32"/>
        <v>0</v>
      </c>
      <c r="N34" s="41">
        <f t="shared" ca="1" si="32"/>
        <v>773883.86</v>
      </c>
      <c r="O34" s="41">
        <f t="shared" ca="1" si="29"/>
        <v>63.881794340742481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3276665</v>
      </c>
      <c r="M37" s="55">
        <f t="shared" ca="1" si="33"/>
        <v>3567104.76</v>
      </c>
      <c r="N37" s="55">
        <f t="shared" ca="1" si="33"/>
        <v>2928363.83</v>
      </c>
      <c r="O37" s="56">
        <f t="shared" ca="1" si="29"/>
        <v>89.370253901451633</v>
      </c>
      <c r="P37" s="56">
        <f t="shared" ca="1" si="25"/>
        <v>82.093575238872447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747700</v>
      </c>
      <c r="M41" s="79">
        <f t="shared" ca="1" si="34"/>
        <v>762700</v>
      </c>
      <c r="N41" s="79">
        <f t="shared" ca="1" si="34"/>
        <v>656304.68999999994</v>
      </c>
      <c r="O41" s="78">
        <f t="shared" ref="O41:O43" ca="1" si="35">IF(L41&gt;0,N41*100/L41,0)</f>
        <v>87.776473184432248</v>
      </c>
      <c r="P41" s="78">
        <f t="shared" ref="P41:P43" ca="1" si="36">IF(M41&gt;0,N41*100/M41,0)</f>
        <v>86.05017569162186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747700</v>
      </c>
      <c r="M43" s="79">
        <f t="shared" ca="1" si="38"/>
        <v>762700</v>
      </c>
      <c r="N43" s="79">
        <f t="shared" ca="1" si="38"/>
        <v>656304.68999999994</v>
      </c>
      <c r="O43" s="78">
        <f t="shared" ca="1" si="35"/>
        <v>87.776473184432248</v>
      </c>
      <c r="P43" s="78">
        <f t="shared" ca="1" si="36"/>
        <v>86.05017569162186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747700</v>
      </c>
      <c r="M45" s="91">
        <f ca="1">IFERROR(__xludf.DUMMYFUNCTION("IMPORTRANGE(""https://docs.google.com/spreadsheets/d/1Yj_ptqi66GCucihVvJfMjLAmec39IyEx_6qawtMGysU/edit?usp=sharing"",""สบก!Q84"")"),762700)</f>
        <v>762700</v>
      </c>
      <c r="N45" s="91">
        <f ca="1">IFERROR(__xludf.DUMMYFUNCTION("IMPORTRANGE(""https://docs.google.com/spreadsheets/d/1Yj_ptqi66GCucihVvJfMjLAmec39IyEx_6qawtMGysU/edit?usp=sharing"",""สบก!R84"")"),656304.69)</f>
        <v>656304.68999999994</v>
      </c>
      <c r="O45" s="92">
        <f ca="1">IF(L45&gt;0,N45*100/L45,0)</f>
        <v>87.776473184432248</v>
      </c>
      <c r="P45" s="92">
        <f ca="1">IF(M45&gt;0,N45*100/M45,0)</f>
        <v>86.05017569162186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IFERROR(__xludf.DUMMYFUNCTION("IMPORTRANGE(""https://docs.google.com/spreadsheets/d/1Yj_ptqi66GCucihVvJfMjLAmec39IyEx_6qawtMGysU/edit?usp=sharing"",""สบก!M84"")"),747700)</f>
        <v>747700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620809.76</v>
      </c>
      <c r="N53" s="125">
        <f t="shared" ca="1" si="39"/>
        <v>565263.76</v>
      </c>
      <c r="O53" s="124">
        <f t="shared" ref="O53:O55" ca="1" si="40">IF(L53&gt;0,N53*100/L53,0)</f>
        <v>94.21062666666667</v>
      </c>
      <c r="P53" s="124">
        <f t="shared" ref="P53:P55" ca="1" si="41">IF(M53&gt;0,N53*100/M53,0)</f>
        <v>91.052653553642585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620809.76</v>
      </c>
      <c r="N55" s="125">
        <f t="shared" ca="1" si="43"/>
        <v>565263.76</v>
      </c>
      <c r="O55" s="124">
        <f t="shared" ca="1" si="40"/>
        <v>94.21062666666667</v>
      </c>
      <c r="P55" s="124">
        <f t="shared" ca="1" si="41"/>
        <v>91.052653553642585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IFERROR(__xludf.DUMMYFUNCTION("IMPORTRANGE(""https://docs.google.com/spreadsheets/d/1Yj_ptqi66GCucihVvJfMjLAmec39IyEx_6qawtMGysU/edit?usp=sharing"",""สบก!Z84"")"),620809.76)</f>
        <v>620809.76</v>
      </c>
      <c r="N57" s="91">
        <f ca="1">IFERROR(__xludf.DUMMYFUNCTION("IMPORTRANGE(""https://docs.google.com/spreadsheets/d/1Yj_ptqi66GCucihVvJfMjLAmec39IyEx_6qawtMGysU/edit?usp=sharing"",""สบก!AA84"")"),565263.76)</f>
        <v>565263.76</v>
      </c>
      <c r="O57" s="92">
        <f ca="1">IF(L57&gt;0,N57*100/L57,0)</f>
        <v>94.21062666666667</v>
      </c>
      <c r="P57" s="92">
        <f ca="1">IF(M57&gt;0,N57*100/M57,0)</f>
        <v>91.052653553642585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IFERROR(__xludf.DUMMYFUNCTION("IMPORTRANGE(""https://docs.google.com/spreadsheets/d/1Yj_ptqi66GCucihVvJfMjLAmec39IyEx_6qawtMGysU/edit?usp=sharing"",""สบก!V84"")"),600000)</f>
        <v>600000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IFERROR(__xludf.DUMMYFUNCTION("IMPORTRANGE(""https://docs.google.com/spreadsheets/d/1Yj_ptqi66GCucihVvJfMjLAmec39IyEx_6qawtMGysU/edit?usp=sharing"",""สบก!AI84"")"),0)</f>
        <v>0</v>
      </c>
      <c r="N70" s="174">
        <f ca="1">IFERROR(__xludf.DUMMYFUNCTION("IMPORTRANGE(""https://docs.google.com/spreadsheets/d/1Yj_ptqi66GCucihVvJfMjLAmec39IyEx_6qawtMGysU/edit?usp=sharing"",""สบก!AJ84"")"),0)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IFERROR(__xludf.DUMMYFUNCTION("IMPORTRANGE(""https://docs.google.com/spreadsheets/d/1IYY_tgx_IHuhSq3AJ5eI5OnqOPBNLWSHKh2a30DoXe8/edit?usp=sharing"",""นครศรีธรรมราช!J16"")"),0)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IFERROR(__xludf.DUMMYFUNCTION("IMPORTRANGE(""https://docs.google.com/spreadsheets/d/1IYY_tgx_IHuhSq3AJ5eI5OnqOPBNLWSHKh2a30DoXe8/edit?usp=sharing"",""นครศรีธรรมราช!J17"")"),0)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IFERROR(__xludf.DUMMYFUNCTION("IMPORTRANGE(""https://docs.google.com/spreadsheets/d/1IYY_tgx_IHuhSq3AJ5eI5OnqOPBNLWSHKh2a30DoXe8/edit?usp=sharing"",""นครศรีธรรมราช!J18"")"),0)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IFERROR(__xludf.DUMMYFUNCTION("IMPORTRANGE(""https://docs.google.com/spreadsheets/d/1IYY_tgx_IHuhSq3AJ5eI5OnqOPBNLWSHKh2a30DoXe8/edit?usp=sharing"",""นครศรีธรรมราช!J19"")"),0)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IFERROR(__xludf.DUMMYFUNCTION("IMPORTRANGE(""https://docs.google.com/spreadsheets/d/1IYY_tgx_IHuhSq3AJ5eI5OnqOPBNLWSHKh2a30DoXe8/edit?usp=sharing"",""นครศรีธรรมราช!I20"")"),0)</f>
        <v>0</v>
      </c>
      <c r="J80" s="207">
        <f ca="1">IFERROR(__xludf.DUMMYFUNCTION("IMPORTRANGE(""https://docs.google.com/spreadsheets/d/1IYY_tgx_IHuhSq3AJ5eI5OnqOPBNLWSHKh2a30DoXe8/edit?usp=sharing"",""นครศรีธรรมราช!J20"")"),0)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IFERROR(__xludf.DUMMYFUNCTION("IMPORTRANGE(""https://docs.google.com/spreadsheets/d/1IYY_tgx_IHuhSq3AJ5eI5OnqOPBNLWSHKh2a30DoXe8/edit?usp=sharing"",""นครศรีธรรมราช!I21"")"),0)</f>
        <v>0</v>
      </c>
      <c r="J81" s="207">
        <f ca="1">IFERROR(__xludf.DUMMYFUNCTION("IMPORTRANGE(""https://docs.google.com/spreadsheets/d/1IYY_tgx_IHuhSq3AJ5eI5OnqOPBNLWSHKh2a30DoXe8/edit?usp=sharing"",""นครศรีธรรมราช!J21"")"),0)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IFERROR(__xludf.DUMMYFUNCTION("IMPORTRANGE(""https://docs.google.com/spreadsheets/d/1IYY_tgx_IHuhSq3AJ5eI5OnqOPBNLWSHKh2a30DoXe8/edit?usp=sharing"",""นครศรีธรรมราช!I22"")"),0)</f>
        <v>0</v>
      </c>
      <c r="J82" s="210">
        <f ca="1">IFERROR(__xludf.DUMMYFUNCTION("IMPORTRANGE(""https://docs.google.com/spreadsheets/d/1IYY_tgx_IHuhSq3AJ5eI5OnqOPBNLWSHKh2a30DoXe8/edit?usp=sharing"",""นครศรีธรรมราช!J22"")"),0)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IFERROR(__xludf.DUMMYFUNCTION("IMPORTRANGE(""https://docs.google.com/spreadsheets/d/1IYY_tgx_IHuhSq3AJ5eI5OnqOPBNLWSHKh2a30DoXe8/edit?usp=sharing"",""นครศรีธรรมราช!I23"")"),0)</f>
        <v>0</v>
      </c>
      <c r="J83" s="210">
        <f ca="1">IFERROR(__xludf.DUMMYFUNCTION("IMPORTRANGE(""https://docs.google.com/spreadsheets/d/1IYY_tgx_IHuhSq3AJ5eI5OnqOPBNLWSHKh2a30DoXe8/edit?usp=sharing"",""นครศรีธรรมราช!J23"")"),0)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IFERROR(__xludf.DUMMYFUNCTION("IMPORTRANGE(""https://docs.google.com/spreadsheets/d/1IYY_tgx_IHuhSq3AJ5eI5OnqOPBNLWSHKh2a30DoXe8/edit?usp=sharing"",""นครศรีธรรมราช!I24"")"),0)</f>
        <v>0</v>
      </c>
      <c r="J84" s="195">
        <f ca="1">IFERROR(__xludf.DUMMYFUNCTION("IMPORTRANGE(""https://docs.google.com/spreadsheets/d/1IYY_tgx_IHuhSq3AJ5eI5OnqOPBNLWSHKh2a30DoXe8/edit?usp=sharing"",""นครศรีธรรมราช!J24"")"),0)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IFERROR(__xludf.DUMMYFUNCTION("IMPORTRANGE(""https://docs.google.com/spreadsheets/d/1IYY_tgx_IHuhSq3AJ5eI5OnqOPBNLWSHKh2a30DoXe8/edit?usp=sharing"",""นครศรีธรรมราช!I25"")"),0)</f>
        <v>0</v>
      </c>
      <c r="J85" s="195">
        <f ca="1">IFERROR(__xludf.DUMMYFUNCTION("IMPORTRANGE(""https://docs.google.com/spreadsheets/d/1IYY_tgx_IHuhSq3AJ5eI5OnqOPBNLWSHKh2a30DoXe8/edit?usp=sharing"",""นครศรีธรรมราช!J25"")"),0)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IFERROR(__xludf.DUMMYFUNCTION("IMPORTRANGE(""https://docs.google.com/spreadsheets/d/1IYY_tgx_IHuhSq3AJ5eI5OnqOPBNLWSHKh2a30DoXe8/edit?usp=sharing"",""นครศรีธรรมราช!I26"")"),0)</f>
        <v>0</v>
      </c>
      <c r="J86" s="210">
        <f ca="1">IFERROR(__xludf.DUMMYFUNCTION("IMPORTRANGE(""https://docs.google.com/spreadsheets/d/1IYY_tgx_IHuhSq3AJ5eI5OnqOPBNLWSHKh2a30DoXe8/edit?usp=sharing"",""นครศรีธรรมราช!J26"")"),0)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IFERROR(__xludf.DUMMYFUNCTION("IMPORTRANGE(""https://docs.google.com/spreadsheets/d/1IYY_tgx_IHuhSq3AJ5eI5OnqOPBNLWSHKh2a30DoXe8/edit?usp=sharing"",""นครศรีธรรมราช!I27"")"),0)</f>
        <v>0</v>
      </c>
      <c r="J87" s="210">
        <f ca="1">IFERROR(__xludf.DUMMYFUNCTION("IMPORTRANGE(""https://docs.google.com/spreadsheets/d/1IYY_tgx_IHuhSq3AJ5eI5OnqOPBNLWSHKh2a30DoXe8/edit?usp=sharing"",""นครศรีธรรมราช!J27"")"),0)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IFERROR(__xludf.DUMMYFUNCTION("IMPORTRANGE(""https://docs.google.com/spreadsheets/d/1IYY_tgx_IHuhSq3AJ5eI5OnqOPBNLWSHKh2a30DoXe8/edit?usp=sharing"",""นครศรีธรรมราช!I28"")"),0)</f>
        <v>0</v>
      </c>
      <c r="J88" s="210">
        <f ca="1">IFERROR(__xludf.DUMMYFUNCTION("IMPORTRANGE(""https://docs.google.com/spreadsheets/d/1IYY_tgx_IHuhSq3AJ5eI5OnqOPBNLWSHKh2a30DoXe8/edit?usp=sharing"",""นครศรีธรรมราช!J28"")"),0)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IFERROR(__xludf.DUMMYFUNCTION("IMPORTRANGE(""https://docs.google.com/spreadsheets/d/1IYY_tgx_IHuhSq3AJ5eI5OnqOPBNLWSHKh2a30DoXe8/edit?usp=sharing"",""นครศรีธรรมราช!J29"")"),0)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IFERROR(__xludf.DUMMYFUNCTION("IMPORTRANGE(""https://docs.google.com/spreadsheets/d/1IYY_tgx_IHuhSq3AJ5eI5OnqOPBNLWSHKh2a30DoXe8/edit?usp=sharing"",""นครศรีธรรมราช!J30"")"),0)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IFERROR(__xludf.DUMMYFUNCTION("IMPORTRANGE(""https://docs.google.com/spreadsheets/d/1IYY_tgx_IHuhSq3AJ5eI5OnqOPBNLWSHKh2a30DoXe8/edit?usp=sharing"",""นครศรีธรรมราช!J32"")"),7)</f>
        <v>7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IFERROR(__xludf.DUMMYFUNCTION("IMPORTRANGE(""https://docs.google.com/spreadsheets/d/1IYY_tgx_IHuhSq3AJ5eI5OnqOPBNLWSHKh2a30DoXe8/edit?usp=sharing"",""นครศรีธรรมราช!J33"")"),2)</f>
        <v>2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319800</v>
      </c>
      <c r="M94" s="156">
        <f t="shared" ca="1" si="52"/>
        <v>326700</v>
      </c>
      <c r="N94" s="156">
        <f t="shared" ca="1" si="52"/>
        <v>261351</v>
      </c>
      <c r="O94" s="155">
        <f t="shared" ref="O94:O96" ca="1" si="53">IF(L94&gt;0,N94*100/L94,0)</f>
        <v>81.723264540337709</v>
      </c>
      <c r="P94" s="155">
        <f t="shared" ref="P94:P96" ca="1" si="54">IF(M94&gt;0,N94*100/M94,0)</f>
        <v>79.997245179063356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319800</v>
      </c>
      <c r="M96" s="161">
        <f t="shared" ca="1" si="56"/>
        <v>326700</v>
      </c>
      <c r="N96" s="161">
        <f t="shared" ca="1" si="56"/>
        <v>261351</v>
      </c>
      <c r="O96" s="160">
        <f t="shared" ca="1" si="53"/>
        <v>81.723264540337709</v>
      </c>
      <c r="P96" s="160">
        <f t="shared" ca="1" si="54"/>
        <v>79.997245179063356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135000</v>
      </c>
      <c r="M98" s="173">
        <f ca="1">IFERROR(__xludf.DUMMYFUNCTION("IMPORTRANGE(""https://docs.google.com/spreadsheets/d/1Yj_ptqi66GCucihVvJfMjLAmec39IyEx_6qawtMGysU/edit?usp=sharing"",""สบก!AR84"")"),141900)</f>
        <v>141900</v>
      </c>
      <c r="N98" s="174">
        <f ca="1">IFERROR(__xludf.DUMMYFUNCTION("IMPORTRANGE(""https://docs.google.com/spreadsheets/d/1Yj_ptqi66GCucihVvJfMjLAmec39IyEx_6qawtMGysU/edit?usp=sharing"",""สบก!AS84"")"),76551)</f>
        <v>76551</v>
      </c>
      <c r="O98" s="175">
        <f ca="1">IF(L98&gt;0,N98*100/L98,0)</f>
        <v>56.704444444444448</v>
      </c>
      <c r="P98" s="175">
        <f ca="1">IF(M98&gt;0,N98*100/M98,0)</f>
        <v>53.947145877378432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IFERROR(__xludf.DUMMYFUNCTION("IMPORTRANGE(""https://docs.google.com/spreadsheets/d/1Yj_ptqi66GCucihVvJfMjLAmec39IyEx_6qawtMGysU/edit?usp=sharing"",""สบก!AO84"")"),135000)</f>
        <v>135000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IFERROR(__xludf.DUMMYFUNCTION("IMPORTRANGE(""https://docs.google.com/spreadsheets/d/1IYY_tgx_IHuhSq3AJ5eI5OnqOPBNLWSHKh2a30DoXe8/edit?usp=sharing"",""นครศรีธรรมราช!J39"")"),0)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IFERROR(__xludf.DUMMYFUNCTION("IMPORTRANGE(""https://docs.google.com/spreadsheets/d/1IYY_tgx_IHuhSq3AJ5eI5OnqOPBNLWSHKh2a30DoXe8/edit?usp=sharing"",""นครศรีธรรมราช!J40"")"),1)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IFERROR(__xludf.DUMMYFUNCTION("IMPORTRANGE(""https://docs.google.com/spreadsheets/d/1IYY_tgx_IHuhSq3AJ5eI5OnqOPBNLWSHKh2a30DoXe8/edit?usp=sharing"",""นครศรีธรรมราช!J41"")"),1)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IFERROR(__xludf.DUMMYFUNCTION("IMPORTRANGE(""https://docs.google.com/spreadsheets/d/1IYY_tgx_IHuhSq3AJ5eI5OnqOPBNLWSHKh2a30DoXe8/edit?usp=sharing"",""นครศรีธรรมราช!J42"")"),1)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IFERROR(__xludf.DUMMYFUNCTION("IMPORTRANGE(""https://docs.google.com/spreadsheets/d/1IYY_tgx_IHuhSq3AJ5eI5OnqOPBNLWSHKh2a30DoXe8/edit?usp=sharing"",""นครศรีธรรมราช!I43"")"),1)</f>
        <v>1</v>
      </c>
      <c r="J108" s="210">
        <f ca="1">IFERROR(__xludf.DUMMYFUNCTION("IMPORTRANGE(""https://docs.google.com/spreadsheets/d/1IYY_tgx_IHuhSq3AJ5eI5OnqOPBNLWSHKh2a30DoXe8/edit?usp=sharing"",""นครศรีธรรมราช!J43"")"),1)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IFERROR(__xludf.DUMMYFUNCTION("IMPORTRANGE(""https://docs.google.com/spreadsheets/d/1IYY_tgx_IHuhSq3AJ5eI5OnqOPBNLWSHKh2a30DoXe8/edit?usp=sharing"",""นครศรีธรรมราช!I44"")"),7)</f>
        <v>7</v>
      </c>
      <c r="J109" s="210">
        <f ca="1">IFERROR(__xludf.DUMMYFUNCTION("IMPORTRANGE(""https://docs.google.com/spreadsheets/d/1IYY_tgx_IHuhSq3AJ5eI5OnqOPBNLWSHKh2a30DoXe8/edit?usp=sharing"",""นครศรีธรรมราช!J44"")"),7)</f>
        <v>7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IFERROR(__xludf.DUMMYFUNCTION("IMPORTRANGE(""https://docs.google.com/spreadsheets/d/1IYY_tgx_IHuhSq3AJ5eI5OnqOPBNLWSHKh2a30DoXe8/edit?usp=sharing"",""นครศรีธรรมราช!I45"")"),7)</f>
        <v>7</v>
      </c>
      <c r="J110" s="210">
        <f ca="1">IFERROR(__xludf.DUMMYFUNCTION("IMPORTRANGE(""https://docs.google.com/spreadsheets/d/1IYY_tgx_IHuhSq3AJ5eI5OnqOPBNLWSHKh2a30DoXe8/edit?usp=sharing"",""นครศรีธรรมราช!J45"")"),7)</f>
        <v>7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IFERROR(__xludf.DUMMYFUNCTION("IMPORTRANGE(""https://docs.google.com/spreadsheets/d/1IYY_tgx_IHuhSq3AJ5eI5OnqOPBNLWSHKh2a30DoXe8/edit?usp=sharing"",""นครศรีธรรมราช!I46"")"),7)</f>
        <v>7</v>
      </c>
      <c r="J111" s="210">
        <f ca="1">IFERROR(__xludf.DUMMYFUNCTION("IMPORTRANGE(""https://docs.google.com/spreadsheets/d/1IYY_tgx_IHuhSq3AJ5eI5OnqOPBNLWSHKh2a30DoXe8/edit?usp=sharing"",""นครศรีธรรมราช!J46"")"),7)</f>
        <v>7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IFERROR(__xludf.DUMMYFUNCTION("IMPORTRANGE(""https://docs.google.com/spreadsheets/d/1IYY_tgx_IHuhSq3AJ5eI5OnqOPBNLWSHKh2a30DoXe8/edit?usp=sharing"",""นครศรีธรรมราช!I47"")"),7)</f>
        <v>7</v>
      </c>
      <c r="J112" s="210">
        <f ca="1">IFERROR(__xludf.DUMMYFUNCTION("IMPORTRANGE(""https://docs.google.com/spreadsheets/d/1IYY_tgx_IHuhSq3AJ5eI5OnqOPBNLWSHKh2a30DoXe8/edit?usp=sharing"",""นครศรีธรรมราช!J47"")"),7)</f>
        <v>7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IFERROR(__xludf.DUMMYFUNCTION("IMPORTRANGE(""https://docs.google.com/spreadsheets/d/1IYY_tgx_IHuhSq3AJ5eI5OnqOPBNLWSHKh2a30DoXe8/edit?usp=sharing"",""นครศรีธรรมราช!I48"")"),2)</f>
        <v>2</v>
      </c>
      <c r="J113" s="210">
        <f ca="1">IFERROR(__xludf.DUMMYFUNCTION("IMPORTRANGE(""https://docs.google.com/spreadsheets/d/1IYY_tgx_IHuhSq3AJ5eI5OnqOPBNLWSHKh2a30DoXe8/edit?usp=sharing"",""นครศรีธรรมราช!J48"")"),2)</f>
        <v>2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IFERROR(__xludf.DUMMYFUNCTION("IMPORTRANGE(""https://docs.google.com/spreadsheets/d/1IYY_tgx_IHuhSq3AJ5eI5OnqOPBNLWSHKh2a30DoXe8/edit?usp=sharing"",""นครศรีธรรมราช!J49"")"),0)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IFERROR(__xludf.DUMMYFUNCTION("IMPORTRANGE(""https://docs.google.com/spreadsheets/d/1IYY_tgx_IHuhSq3AJ5eI5OnqOPBNLWSHKh2a30DoXe8/edit?usp=sharing"",""นครศรีธรรมราช!J50"")"),0)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IFERROR(__xludf.DUMMYFUNCTION("IMPORTRANGE(""https://docs.google.com/spreadsheets/d/1Yj_ptqi66GCucihVvJfMjLAmec39IyEx_6qawtMGysU/edit?usp=sharing"",""สบก!BA84"")"),0)</f>
        <v>0</v>
      </c>
      <c r="N122" s="174">
        <f ca="1">IFERROR(__xludf.DUMMYFUNCTION("IMPORTRANGE(""https://docs.google.com/spreadsheets/d/1Yj_ptqi66GCucihVvJfMjLAmec39IyEx_6qawtMGysU/edit?usp=sharing"",""สบก!BB84"")"),0)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IFERROR(__xludf.DUMMYFUNCTION("IMPORTRANGE(""https://docs.google.com/spreadsheets/d/1Yj_ptqi66GCucihVvJfMjLAmec39IyEx_6qawtMGysU/edit?usp=sharing"",""สบก!AX84"")"),0)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IFERROR(__xludf.DUMMYFUNCTION("IMPORTRANGE(""https://docs.google.com/spreadsheets/d/1IYY_tgx_IHuhSq3AJ5eI5OnqOPBNLWSHKh2a30DoXe8/edit?usp=sharing"",""นครศรีธรรมราช!J58"")"),0)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IFERROR(__xludf.DUMMYFUNCTION("IMPORTRANGE(""https://docs.google.com/spreadsheets/d/1IYY_tgx_IHuhSq3AJ5eI5OnqOPBNLWSHKh2a30DoXe8/edit?usp=sharing"",""นครศรีธรรมราช!J59"")"),0)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IFERROR(__xludf.DUMMYFUNCTION("IMPORTRANGE(""https://docs.google.com/spreadsheets/d/1IYY_tgx_IHuhSq3AJ5eI5OnqOPBNLWSHKh2a30DoXe8/edit?usp=sharing"",""นครศรีธรรมราช!J60"")"),0)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IFERROR(__xludf.DUMMYFUNCTION("IMPORTRANGE(""https://docs.google.com/spreadsheets/d/1IYY_tgx_IHuhSq3AJ5eI5OnqOPBNLWSHKh2a30DoXe8/edit?usp=sharing"",""นครศรีธรรมราช!J61"")"),0)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IFERROR(__xludf.DUMMYFUNCTION("IMPORTRANGE(""https://docs.google.com/spreadsheets/d/1IYY_tgx_IHuhSq3AJ5eI5OnqOPBNLWSHKh2a30DoXe8/edit?usp=sharing"",""นครศรีธรรมราช!I62"")"),0)</f>
        <v>0</v>
      </c>
      <c r="J132" s="210">
        <f ca="1">IFERROR(__xludf.DUMMYFUNCTION("IMPORTRANGE(""https://docs.google.com/spreadsheets/d/1IYY_tgx_IHuhSq3AJ5eI5OnqOPBNLWSHKh2a30DoXe8/edit?usp=sharing"",""นครศรีธรรมราช!J62"")"),0)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IFERROR(__xludf.DUMMYFUNCTION("IMPORTRANGE(""https://docs.google.com/spreadsheets/d/1IYY_tgx_IHuhSq3AJ5eI5OnqOPBNLWSHKh2a30DoXe8/edit?usp=sharing"",""นครศรีธรรมราช!I63"")"),0)</f>
        <v>0</v>
      </c>
      <c r="J133" s="210">
        <f ca="1">IFERROR(__xludf.DUMMYFUNCTION("IMPORTRANGE(""https://docs.google.com/spreadsheets/d/1IYY_tgx_IHuhSq3AJ5eI5OnqOPBNLWSHKh2a30DoXe8/edit?usp=sharing"",""นครศรีธรรมราช!J63"")"),0)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IFERROR(__xludf.DUMMYFUNCTION("IMPORTRANGE(""https://docs.google.com/spreadsheets/d/1IYY_tgx_IHuhSq3AJ5eI5OnqOPBNLWSHKh2a30DoXe8/edit?usp=sharing"",""นครศรีธรรมราช!J64"")"),0)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IFERROR(__xludf.DUMMYFUNCTION("IMPORTRANGE(""https://docs.google.com/spreadsheets/d/1IYY_tgx_IHuhSq3AJ5eI5OnqOPBNLWSHKh2a30DoXe8/edit?usp=sharing"",""นครศรีธรรมราช!J65"")"),0)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3">
        <f ca="1">IFERROR(__xludf.DUMMYFUNCTION("IMPORTRANGE(""https://docs.google.com/spreadsheets/d/1IYY_tgx_IHuhSq3AJ5eI5OnqOPBNLWSHKh2a30DoXe8/edit?usp=sharing"",""นครศรีธรรมราช!J68"")"),102)</f>
        <v>102</v>
      </c>
      <c r="K138" s="274">
        <f ca="1">IF(I138&gt;0,J138*100/I138,0)</f>
        <v>102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818600</v>
      </c>
      <c r="M140" s="156">
        <f t="shared" ca="1" si="64"/>
        <v>822030</v>
      </c>
      <c r="N140" s="156">
        <f t="shared" ca="1" si="64"/>
        <v>648930.67000000004</v>
      </c>
      <c r="O140" s="155">
        <f t="shared" ref="O140:O142" ca="1" si="65">IF(L140&gt;0,N140*100/L140,0)</f>
        <v>79.27323112631322</v>
      </c>
      <c r="P140" s="155">
        <f t="shared" ref="P140:P142" ca="1" si="66">IF(M140&gt;0,N140*100/M140,0)</f>
        <v>78.942455871440231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818600</v>
      </c>
      <c r="M142" s="161">
        <f t="shared" ca="1" si="68"/>
        <v>822030</v>
      </c>
      <c r="N142" s="161">
        <f t="shared" ca="1" si="68"/>
        <v>648930.67000000004</v>
      </c>
      <c r="O142" s="160">
        <f t="shared" ca="1" si="65"/>
        <v>79.27323112631322</v>
      </c>
      <c r="P142" s="160">
        <f t="shared" ca="1" si="66"/>
        <v>78.942455871440231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818600</v>
      </c>
      <c r="M144" s="173">
        <f ca="1">IFERROR(__xludf.DUMMYFUNCTION("IMPORTRANGE(""https://docs.google.com/spreadsheets/d/1Yj_ptqi66GCucihVvJfMjLAmec39IyEx_6qawtMGysU/edit?usp=sharing"",""สบก!BJ84"")"),822030)</f>
        <v>822030</v>
      </c>
      <c r="N144" s="174">
        <f ca="1">IFERROR(__xludf.DUMMYFUNCTION("IMPORTRANGE(""https://docs.google.com/spreadsheets/d/1Yj_ptqi66GCucihVvJfMjLAmec39IyEx_6qawtMGysU/edit?usp=sharing"",""สบก!BK84"")"),648930.67)</f>
        <v>648930.67000000004</v>
      </c>
      <c r="O144" s="175">
        <f ca="1">IF(L144&gt;0,N144*100/L144,0)</f>
        <v>79.27323112631322</v>
      </c>
      <c r="P144" s="175">
        <f ca="1">IF(M144&gt;0,N144*100/M144,0)</f>
        <v>78.942455871440231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IFERROR(__xludf.DUMMYFUNCTION("IMPORTRANGE(""https://docs.google.com/spreadsheets/d/1Yj_ptqi66GCucihVvJfMjLAmec39IyEx_6qawtMGysU/edit?usp=sharing"",""สบก!BF84"")"),330100)</f>
        <v>330100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IFERROR(__xludf.DUMMYFUNCTION("IMPORTRANGE(""https://docs.google.com/spreadsheets/d/1Yj_ptqi66GCucihVvJfMjLAmec39IyEx_6qawtMGysU/edit?usp=sharing"",""สบก!BG84"")"),488500)</f>
        <v>488500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IFERROR(__xludf.DUMMYFUNCTION("IMPORTRANGE(""https://docs.google.com/spreadsheets/d/1IYY_tgx_IHuhSq3AJ5eI5OnqOPBNLWSHKh2a30DoXe8/edit?usp=sharing"",""นครศรีธรรมราช!I74"")"),4)</f>
        <v>4</v>
      </c>
      <c r="J149" s="281">
        <f ca="1">IFERROR(__xludf.DUMMYFUNCTION("IMPORTRANGE(""https://docs.google.com/spreadsheets/d/1IYY_tgx_IHuhSq3AJ5eI5OnqOPBNLWSHKh2a30DoXe8/edit?usp=sharing"",""นครศรีธรรมราช!J74"")"),4)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IFERROR(__xludf.DUMMYFUNCTION("IMPORTRANGE(""https://docs.google.com/spreadsheets/d/1IYY_tgx_IHuhSq3AJ5eI5OnqOPBNLWSHKh2a30DoXe8/edit?usp=sharing"",""นครศรีธรรมราช!J79"")"),0)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IFERROR(__xludf.DUMMYFUNCTION("IMPORTRANGE(""https://docs.google.com/spreadsheets/d/1IYY_tgx_IHuhSq3AJ5eI5OnqOPBNLWSHKh2a30DoXe8/edit?usp=sharing"",""นครศรีธรรมราช!J80"")"),1)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IFERROR(__xludf.DUMMYFUNCTION("IMPORTRANGE(""https://docs.google.com/spreadsheets/d/1IYY_tgx_IHuhSq3AJ5eI5OnqOPBNLWSHKh2a30DoXe8/edit?usp=sharing"",""นครศรีธรรมราช!J81"")"),1)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IFERROR(__xludf.DUMMYFUNCTION("IMPORTRANGE(""https://docs.google.com/spreadsheets/d/1IYY_tgx_IHuhSq3AJ5eI5OnqOPBNLWSHKh2a30DoXe8/edit?usp=sharing"",""นครศรีธรรมราช!J82"")"),1)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IFERROR(__xludf.DUMMYFUNCTION("IMPORTRANGE(""https://docs.google.com/spreadsheets/d/1IYY_tgx_IHuhSq3AJ5eI5OnqOPBNLWSHKh2a30DoXe8/edit?usp=sharing"",""นครศรีธรรมราช!I83"")"),4)</f>
        <v>4</v>
      </c>
      <c r="J158" s="195">
        <f ca="1">IFERROR(__xludf.DUMMYFUNCTION("IMPORTRANGE(""https://docs.google.com/spreadsheets/d/1IYY_tgx_IHuhSq3AJ5eI5OnqOPBNLWSHKh2a30DoXe8/edit?usp=sharing"",""นครศรีธรรมราช!J83"")"),4)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IFERROR(__xludf.DUMMYFUNCTION("IMPORTRANGE(""https://docs.google.com/spreadsheets/d/1IYY_tgx_IHuhSq3AJ5eI5OnqOPBNLWSHKh2a30DoXe8/edit?usp=sharing"",""นครศรีธรรมราช!J84"")"),103)</f>
        <v>103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IFERROR(__xludf.DUMMYFUNCTION("IMPORTRANGE(""https://docs.google.com/spreadsheets/d/1IYY_tgx_IHuhSq3AJ5eI5OnqOPBNLWSHKh2a30DoXe8/edit?usp=sharing"",""นครศรีธรรมราช!J85"")"),103)</f>
        <v>103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IFERROR(__xludf.DUMMYFUNCTION("IMPORTRANGE(""https://docs.google.com/spreadsheets/d/1IYY_tgx_IHuhSq3AJ5eI5OnqOPBNLWSHKh2a30DoXe8/edit?usp=sharing"",""นครศรีธรรมราช!J87"")"),0)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IFERROR(__xludf.DUMMYFUNCTION("IMPORTRANGE(""https://docs.google.com/spreadsheets/d/1IYY_tgx_IHuhSq3AJ5eI5OnqOPBNLWSHKh2a30DoXe8/edit?usp=sharing"",""นครศรีธรรมราช!J88"")"),0)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IFERROR(__xludf.DUMMYFUNCTION("IMPORTRANGE(""https://docs.google.com/spreadsheets/d/1IYY_tgx_IHuhSq3AJ5eI5OnqOPBNLWSHKh2a30DoXe8/edit?usp=sharing"",""นครศรีธรรมราช!J94"")"),0)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IFERROR(__xludf.DUMMYFUNCTION("IMPORTRANGE(""https://docs.google.com/spreadsheets/d/1IYY_tgx_IHuhSq3AJ5eI5OnqOPBNLWSHKh2a30DoXe8/edit?usp=sharing"",""นครศรีธรรมราช!J95"")"),1)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IFERROR(__xludf.DUMMYFUNCTION("IMPORTRANGE(""https://docs.google.com/spreadsheets/d/1IYY_tgx_IHuhSq3AJ5eI5OnqOPBNLWSHKh2a30DoXe8/edit?usp=sharing"",""นครศรีธรรมราช!J96"")"),1)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IFERROR(__xludf.DUMMYFUNCTION("IMPORTRANGE(""https://docs.google.com/spreadsheets/d/1IYY_tgx_IHuhSq3AJ5eI5OnqOPBNLWSHKh2a30DoXe8/edit?usp=sharing"",""นครศรีธรรมราช!J97"")"),1)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IFERROR(__xludf.DUMMYFUNCTION("IMPORTRANGE(""https://docs.google.com/spreadsheets/d/1IYY_tgx_IHuhSq3AJ5eI5OnqOPBNLWSHKh2a30DoXe8/edit?usp=sharing"",""นครศรีธรรมราช!I98"")"),4)</f>
        <v>4</v>
      </c>
      <c r="J173" s="195">
        <f ca="1">IFERROR(__xludf.DUMMYFUNCTION("IMPORTRANGE(""https://docs.google.com/spreadsheets/d/1IYY_tgx_IHuhSq3AJ5eI5OnqOPBNLWSHKh2a30DoXe8/edit?usp=sharing"",""นครศรีธรรมราช!J98"")"),4)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IFERROR(__xludf.DUMMYFUNCTION("IMPORTRANGE(""https://docs.google.com/spreadsheets/d/1IYY_tgx_IHuhSq3AJ5eI5OnqOPBNLWSHKh2a30DoXe8/edit?usp=sharing"",""นครศรีธรรมราช!J99"")"),1)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IFERROR(__xludf.DUMMYFUNCTION("IMPORTRANGE(""https://docs.google.com/spreadsheets/d/1IYY_tgx_IHuhSq3AJ5eI5OnqOPBNLWSHKh2a30DoXe8/edit?usp=sharing"",""นครศรีธรรมราช!J100"")"),0)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IFERROR(__xludf.DUMMYFUNCTION("IMPORTRANGE(""https://docs.google.com/spreadsheets/d/1IYY_tgx_IHuhSq3AJ5eI5OnqOPBNLWSHKh2a30DoXe8/edit?usp=sharing"",""นครศรีธรรมราช!J101"")"),2)</f>
        <v>2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IFERROR(__xludf.DUMMYFUNCTION("IMPORTRANGE(""https://docs.google.com/spreadsheets/d/1IYY_tgx_IHuhSq3AJ5eI5OnqOPBNLWSHKh2a30DoXe8/edit?usp=sharing"",""นครศรีธรรมราช!J106"")"),0)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IFERROR(__xludf.DUMMYFUNCTION("IMPORTRANGE(""https://docs.google.com/spreadsheets/d/1IYY_tgx_IHuhSq3AJ5eI5OnqOPBNLWSHKh2a30DoXe8/edit?usp=sharing"",""นครศรีธรรมราช!J107"")"),1)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IFERROR(__xludf.DUMMYFUNCTION("IMPORTRANGE(""https://docs.google.com/spreadsheets/d/1IYY_tgx_IHuhSq3AJ5eI5OnqOPBNLWSHKh2a30DoXe8/edit?usp=sharing"",""นครศรีธรรมราช!J108"")"),1)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IFERROR(__xludf.DUMMYFUNCTION("IMPORTRANGE(""https://docs.google.com/spreadsheets/d/1IYY_tgx_IHuhSq3AJ5eI5OnqOPBNLWSHKh2a30DoXe8/edit?usp=sharing"",""นครศรีธรรมราช!J109"")"),1)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IFERROR(__xludf.DUMMYFUNCTION("IMPORTRANGE(""https://docs.google.com/spreadsheets/d/1IYY_tgx_IHuhSq3AJ5eI5OnqOPBNLWSHKh2a30DoXe8/edit?usp=sharing"",""นครศรีธรรมราช!I110"")"),2)</f>
        <v>2</v>
      </c>
      <c r="J185" s="210">
        <f ca="1">IFERROR(__xludf.DUMMYFUNCTION("IMPORTRANGE(""https://docs.google.com/spreadsheets/d/1IYY_tgx_IHuhSq3AJ5eI5OnqOPBNLWSHKh2a30DoXe8/edit?usp=sharing"",""นครศรีธรรมราช!J110"")"),0)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IFERROR(__xludf.DUMMYFUNCTION("IMPORTRANGE(""https://docs.google.com/spreadsheets/d/1IYY_tgx_IHuhSq3AJ5eI5OnqOPBNLWSHKh2a30DoXe8/edit?usp=sharing"",""นครศรีธรรมราช!I111"")"),2)</f>
        <v>2</v>
      </c>
      <c r="J186" s="210">
        <f ca="1">IFERROR(__xludf.DUMMYFUNCTION("IMPORTRANGE(""https://docs.google.com/spreadsheets/d/1IYY_tgx_IHuhSq3AJ5eI5OnqOPBNLWSHKh2a30DoXe8/edit?usp=sharing"",""นครศรีธรรมราช!J111"")"),2)</f>
        <v>2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IFERROR(__xludf.DUMMYFUNCTION("IMPORTRANGE(""https://docs.google.com/spreadsheets/d/1IYY_tgx_IHuhSq3AJ5eI5OnqOPBNLWSHKh2a30DoXe8/edit?usp=sharing"",""นครศรีธรรมราช!J112"")"),0)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IFERROR(__xludf.DUMMYFUNCTION("IMPORTRANGE(""https://docs.google.com/spreadsheets/d/1IYY_tgx_IHuhSq3AJ5eI5OnqOPBNLWSHKh2a30DoXe8/edit?usp=sharing"",""นครศรีธรรมราช!J113"")"),0)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IFERROR(__xludf.DUMMYFUNCTION("IMPORTRANGE(""https://docs.google.com/spreadsheets/d/1IYY_tgx_IHuhSq3AJ5eI5OnqOPBNLWSHKh2a30DoXe8/edit?usp=sharing"",""นครศรีธรรมราช!J114"")"),50000)</f>
        <v>50000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IFERROR(__xludf.DUMMYFUNCTION("IMPORTRANGE(""https://docs.google.com/spreadsheets/d/1IYY_tgx_IHuhSq3AJ5eI5OnqOPBNLWSHKh2a30DoXe8/edit?usp=sharing"",""นครศรีธรรมราช!J119"")"),0)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IFERROR(__xludf.DUMMYFUNCTION("IMPORTRANGE(""https://docs.google.com/spreadsheets/d/1IYY_tgx_IHuhSq3AJ5eI5OnqOPBNLWSHKh2a30DoXe8/edit?usp=sharing"",""นครศรีธรรมราช!J120"")"),1)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IFERROR(__xludf.DUMMYFUNCTION("IMPORTRANGE(""https://docs.google.com/spreadsheets/d/1IYY_tgx_IHuhSq3AJ5eI5OnqOPBNLWSHKh2a30DoXe8/edit?usp=sharing"",""นครศรีธรรมราช!J121"")"),1)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IFERROR(__xludf.DUMMYFUNCTION("IMPORTRANGE(""https://docs.google.com/spreadsheets/d/1IYY_tgx_IHuhSq3AJ5eI5OnqOPBNLWSHKh2a30DoXe8/edit?usp=sharing"",""นครศรีธรรมราช!J122"")"),1)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5">
        <f ca="1">IFERROR(__xludf.DUMMYFUNCTION("IMPORTRANGE(""https://docs.google.com/spreadsheets/d/1IYY_tgx_IHuhSq3AJ5eI5OnqOPBNLWSHKh2a30DoXe8/edit?usp=sharing"",""นครศรีธรรมราช!J124"")"),50000)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5">
        <f ca="1">IFERROR(__xludf.DUMMYFUNCTION("IMPORTRANGE(""https://docs.google.com/spreadsheets/d/1IYY_tgx_IHuhSq3AJ5eI5OnqOPBNLWSHKh2a30DoXe8/edit?usp=sharing"",""นครศรีธรรมราช!J125"")"),50000)</f>
        <v>50000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IFERROR(__xludf.DUMMYFUNCTION("IMPORTRANGE(""https://docs.google.com/spreadsheets/d/1IYY_tgx_IHuhSq3AJ5eI5OnqOPBNLWSHKh2a30DoXe8/edit?usp=sharing"",""นครศรีธรรมราช!I126"")"),0)</f>
        <v>0</v>
      </c>
      <c r="J201" s="195">
        <f ca="1">IFERROR(__xludf.DUMMYFUNCTION("IMPORTRANGE(""https://docs.google.com/spreadsheets/d/1IYY_tgx_IHuhSq3AJ5eI5OnqOPBNLWSHKh2a30DoXe8/edit?usp=sharing"",""นครศรีธรรมราช!J126"")"),0)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IFERROR(__xludf.DUMMYFUNCTION("IMPORTRANGE(""https://docs.google.com/spreadsheets/d/1IYY_tgx_IHuhSq3AJ5eI5OnqOPBNLWSHKh2a30DoXe8/edit?usp=sharing"",""นครศรีธรรมราช!J127"")"),0)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IFERROR(__xludf.DUMMYFUNCTION("IMPORTRANGE(""https://docs.google.com/spreadsheets/d/1IYY_tgx_IHuhSq3AJ5eI5OnqOPBNLWSHKh2a30DoXe8/edit?usp=sharing"",""นครศรีธรรมราช!J128"")"),0)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IFERROR(__xludf.DUMMYFUNCTION("IMPORTRANGE(""https://docs.google.com/spreadsheets/d/1IYY_tgx_IHuhSq3AJ5eI5OnqOPBNLWSHKh2a30DoXe8/edit?usp=sharing"",""นครศรีธรรมราช!J129"")"),102)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IFERROR(__xludf.DUMMYFUNCTION("IMPORTRANGE(""https://docs.google.com/spreadsheets/d/1IYY_tgx_IHuhSq3AJ5eI5OnqOPBNLWSHKh2a30DoXe8/edit?usp=sharing"",""นครศรีธรรมราช!J134"")"),0)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IFERROR(__xludf.DUMMYFUNCTION("IMPORTRANGE(""https://docs.google.com/spreadsheets/d/1IYY_tgx_IHuhSq3AJ5eI5OnqOPBNLWSHKh2a30DoXe8/edit?usp=sharing"",""นครศรีธรรมราช!J135"")"),1)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IFERROR(__xludf.DUMMYFUNCTION("IMPORTRANGE(""https://docs.google.com/spreadsheets/d/1IYY_tgx_IHuhSq3AJ5eI5OnqOPBNLWSHKh2a30DoXe8/edit?usp=sharing"",""นครศรีธรรมราช!J136"")"),1)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IFERROR(__xludf.DUMMYFUNCTION("IMPORTRANGE(""https://docs.google.com/spreadsheets/d/1IYY_tgx_IHuhSq3AJ5eI5OnqOPBNLWSHKh2a30DoXe8/edit?usp=sharing"",""นครศรีธรรมราช!J137"")"),1)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0">
        <f ca="1">IFERROR(__xludf.DUMMYFUNCTION("IMPORTRANGE(""https://docs.google.com/spreadsheets/d/1IYY_tgx_IHuhSq3AJ5eI5OnqOPBNLWSHKh2a30DoXe8/edit?usp=sharing"",""นครศรีธรรมราช!J138"")"),102)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IFERROR(__xludf.DUMMYFUNCTION("IMPORTRANGE(""https://docs.google.com/spreadsheets/d/1IYY_tgx_IHuhSq3AJ5eI5OnqOPBNLWSHKh2a30DoXe8/edit?usp=sharing"",""นครศรีธรรมราช!I140"")"),0)</f>
        <v>0</v>
      </c>
      <c r="J215" s="210">
        <f ca="1">IFERROR(__xludf.DUMMYFUNCTION("IMPORTRANGE(""https://docs.google.com/spreadsheets/d/1IYY_tgx_IHuhSq3AJ5eI5OnqOPBNLWSHKh2a30DoXe8/edit?usp=sharing"",""นครศรีธรรมราช!J140"")"),0)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IFERROR(__xludf.DUMMYFUNCTION("IMPORTRANGE(""https://docs.google.com/spreadsheets/d/1IYY_tgx_IHuhSq3AJ5eI5OnqOPBNLWSHKh2a30DoXe8/edit?usp=sharing"",""นครศรีธรรมราช!I141"")"),6)</f>
        <v>6</v>
      </c>
      <c r="J216" s="210">
        <f ca="1">IFERROR(__xludf.DUMMYFUNCTION("IMPORTRANGE(""https://docs.google.com/spreadsheets/d/1IYY_tgx_IHuhSq3AJ5eI5OnqOPBNLWSHKh2a30DoXe8/edit?usp=sharing"",""นครศรีธรรมราช!J141"")"),4)</f>
        <v>4</v>
      </c>
      <c r="K216" s="230">
        <f t="shared" ca="1" si="71"/>
        <v>66.666666666666671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IFERROR(__xludf.DUMMYFUNCTION("IMPORTRANGE(""https://docs.google.com/spreadsheets/d/1IYY_tgx_IHuhSq3AJ5eI5OnqOPBNLWSHKh2a30DoXe8/edit?usp=sharing"",""นครศรีธรรมราช!J142"")"),0)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IFERROR(__xludf.DUMMYFUNCTION("IMPORTRANGE(""https://docs.google.com/spreadsheets/d/1IYY_tgx_IHuhSq3AJ5eI5OnqOPBNLWSHKh2a30DoXe8/edit?usp=sharing"",""นครศรีธรรมราช!J143"")"),0)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3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IFERROR(__xludf.DUMMYFUNCTION("IMPORTRANGE(""https://docs.google.com/spreadsheets/d/1Yj_ptqi66GCucihVvJfMjLAmec39IyEx_6qawtMGysU/edit?usp=sharing"",""สบก!BS84"")"),21125)</f>
        <v>21125</v>
      </c>
      <c r="N224" s="174">
        <f ca="1">IFERROR(__xludf.DUMMYFUNCTION("IMPORTRANGE(""https://docs.google.com/spreadsheets/d/1Yj_ptqi66GCucihVvJfMjLAmec39IyEx_6qawtMGysU/edit?usp=sharing"",""สบก!BT84"")"),21125)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IFERROR(__xludf.DUMMYFUNCTION("IMPORTRANGE(""https://docs.google.com/spreadsheets/d/1Yj_ptqi66GCucihVvJfMjLAmec39IyEx_6qawtMGysU/edit?usp=sharing"",""สบก!BP84"")"),21125)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3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IFERROR(__xludf.DUMMYFUNCTION("IMPORTRANGE(""https://docs.google.com/spreadsheets/d/1IYY_tgx_IHuhSq3AJ5eI5OnqOPBNLWSHKh2a30DoXe8/edit?usp=sharing"",""นครศรีธรรมราช!J151"")"),0)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IFERROR(__xludf.DUMMYFUNCTION("IMPORTRANGE(""https://docs.google.com/spreadsheets/d/1IYY_tgx_IHuhSq3AJ5eI5OnqOPBNLWSHKh2a30DoXe8/edit?usp=sharing"",""นครศรีธรรมราช!J152"")"),1)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IFERROR(__xludf.DUMMYFUNCTION("IMPORTRANGE(""https://docs.google.com/spreadsheets/d/1IYY_tgx_IHuhSq3AJ5eI5OnqOPBNLWSHKh2a30DoXe8/edit?usp=sharing"",""นครศรีธรรมราช!J153"")"),1)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IFERROR(__xludf.DUMMYFUNCTION("IMPORTRANGE(""https://docs.google.com/spreadsheets/d/1IYY_tgx_IHuhSq3AJ5eI5OnqOPBNLWSHKh2a30DoXe8/edit?usp=sharing"",""นครศรีธรรมราช!J154"")"),1)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5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IFERROR(__xludf.DUMMYFUNCTION("IMPORTRANGE(""https://docs.google.com/spreadsheets/d/1IYY_tgx_IHuhSq3AJ5eI5OnqOPBNLWSHKh2a30DoXe8/edit?usp=sharing"",""นครศรีธรรมราช!J156"")"),1)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IFERROR(__xludf.DUMMYFUNCTION("IMPORTRANGE(""https://docs.google.com/spreadsheets/d/1IYY_tgx_IHuhSq3AJ5eI5OnqOPBNLWSHKh2a30DoXe8/edit?usp=sharing"",""นครศรีธรรมราช!J157"")"),0)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IFERROR(__xludf.DUMMYFUNCTION("IMPORTRANGE(""https://docs.google.com/spreadsheets/d/1IYY_tgx_IHuhSq3AJ5eI5OnqOPBNLWSHKh2a30DoXe8/edit?usp=sharing"",""นครศรีธรรมราช!I158"")"),0)</f>
        <v>0</v>
      </c>
      <c r="J238" s="273">
        <f ca="1">IFERROR(__xludf.DUMMYFUNCTION("IMPORTRANGE(""https://docs.google.com/spreadsheets/d/1IYY_tgx_IHuhSq3AJ5eI5OnqOPBNLWSHKh2a30DoXe8/edit?usp=sharing"",""นครศรีธรรมราช!J158"")"),0)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IFERROR(__xludf.DUMMYFUNCTION("IMPORTRANGE(""https://docs.google.com/spreadsheets/d/1IYY_tgx_IHuhSq3AJ5eI5OnqOPBNLWSHKh2a30DoXe8/edit?usp=sharing"",""นครศรีธรรมราช!J161"")"),0)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IFERROR(__xludf.DUMMYFUNCTION("IMPORTRANGE(""https://docs.google.com/spreadsheets/d/1IYY_tgx_IHuhSq3AJ5eI5OnqOPBNLWSHKh2a30DoXe8/edit?usp=sharing"",""นครศรีธรรมราช!J162"")"),0)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IFERROR(__xludf.DUMMYFUNCTION("IMPORTRANGE(""https://docs.google.com/spreadsheets/d/1IYY_tgx_IHuhSq3AJ5eI5OnqOPBNLWSHKh2a30DoXe8/edit?usp=sharing"",""นครศรีธรรมราช!J163"")"),0)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IFERROR(__xludf.DUMMYFUNCTION("IMPORTRANGE(""https://docs.google.com/spreadsheets/d/1IYY_tgx_IHuhSq3AJ5eI5OnqOPBNLWSHKh2a30DoXe8/edit?usp=sharing"",""นครศรีธรรมราช!I164"")"),0)</f>
        <v>0</v>
      </c>
      <c r="J244" s="194">
        <f ca="1">IFERROR(__xludf.DUMMYFUNCTION("IMPORTRANGE(""https://docs.google.com/spreadsheets/d/1IYY_tgx_IHuhSq3AJ5eI5OnqOPBNLWSHKh2a30DoXe8/edit?usp=sharing"",""นครศรีธรรมราช!J164"")"),0)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IFERROR(__xludf.DUMMYFUNCTION("IMPORTRANGE(""https://docs.google.com/spreadsheets/d/1IYY_tgx_IHuhSq3AJ5eI5OnqOPBNLWSHKh2a30DoXe8/edit?usp=sharing"",""นครศรีธรรมราช!J165"")"),0)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IFERROR(__xludf.DUMMYFUNCTION("IMPORTRANGE(""https://docs.google.com/spreadsheets/d/1Yj_ptqi66GCucihVvJfMjLAmec39IyEx_6qawtMGysU/edit?usp=sharing"",""สบก!CB84"")"),0)</f>
        <v>0</v>
      </c>
      <c r="N254" s="174">
        <f ca="1">IFERROR(__xludf.DUMMYFUNCTION("IMPORTRANGE(""https://docs.google.com/spreadsheets/d/1Yj_ptqi66GCucihVvJfMjLAmec39IyEx_6qawtMGysU/edit?usp=sharing"",""สบก!CC84"")"),0)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IFERROR(__xludf.DUMMYFUNCTION("IMPORTRANGE(""https://docs.google.com/spreadsheets/d/1Yj_ptqi66GCucihVvJfMjLAmec39IyEx_6qawtMGysU/edit?usp=sharing"",""สบก!BY84"")"),0)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IFERROR(__xludf.DUMMYFUNCTION("IMPORTRANGE(""https://docs.google.com/spreadsheets/d/1IYY_tgx_IHuhSq3AJ5eI5OnqOPBNLWSHKh2a30DoXe8/edit?usp=sharing"",""นครศรีธรรมราช!J175"")"),0)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IFERROR(__xludf.DUMMYFUNCTION("IMPORTRANGE(""https://docs.google.com/spreadsheets/d/1IYY_tgx_IHuhSq3AJ5eI5OnqOPBNLWSHKh2a30DoXe8/edit?usp=sharing"",""นครศรีธรรมราช!J176"")"),0)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IFERROR(__xludf.DUMMYFUNCTION("IMPORTRANGE(""https://docs.google.com/spreadsheets/d/1IYY_tgx_IHuhSq3AJ5eI5OnqOPBNLWSHKh2a30DoXe8/edit?usp=sharing"",""นครศรีธรรมราช!J177"")"),0)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IFERROR(__xludf.DUMMYFUNCTION("IMPORTRANGE(""https://docs.google.com/spreadsheets/d/1IYY_tgx_IHuhSq3AJ5eI5OnqOPBNLWSHKh2a30DoXe8/edit?usp=sharing"",""นครศรีธรรมราช!J178"")"),0)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IFERROR(__xludf.DUMMYFUNCTION("IMPORTRANGE(""https://docs.google.com/spreadsheets/d/1IYY_tgx_IHuhSq3AJ5eI5OnqOPBNLWSHKh2a30DoXe8/edit?usp=sharing"",""นครศรีธรรมราช!I179"")"),0)</f>
        <v>0</v>
      </c>
      <c r="J264" s="195">
        <f ca="1">IFERROR(__xludf.DUMMYFUNCTION("IMPORTRANGE(""https://docs.google.com/spreadsheets/d/1IYY_tgx_IHuhSq3AJ5eI5OnqOPBNLWSHKh2a30DoXe8/edit?usp=sharing"",""นครศรีธรรมราช!J179"")"),0)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IFERROR(__xludf.DUMMYFUNCTION("IMPORTRANGE(""https://docs.google.com/spreadsheets/d/1IYY_tgx_IHuhSq3AJ5eI5OnqOPBNLWSHKh2a30DoXe8/edit?usp=sharing"",""นครศรีธรรมราช!I180"")"),0)</f>
        <v>0</v>
      </c>
      <c r="J265" s="195">
        <f ca="1">IFERROR(__xludf.DUMMYFUNCTION("IMPORTRANGE(""https://docs.google.com/spreadsheets/d/1IYY_tgx_IHuhSq3AJ5eI5OnqOPBNLWSHKh2a30DoXe8/edit?usp=sharing"",""นครศรีธรรมราช!J180"")"),0)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IFERROR(__xludf.DUMMYFUNCTION("IMPORTRANGE(""https://docs.google.com/spreadsheets/d/1IYY_tgx_IHuhSq3AJ5eI5OnqOPBNLWSHKh2a30DoXe8/edit?usp=sharing"",""นครศรีธรรมราช!I181"")"),0)</f>
        <v>0</v>
      </c>
      <c r="J266" s="195">
        <f ca="1">IFERROR(__xludf.DUMMYFUNCTION("IMPORTRANGE(""https://docs.google.com/spreadsheets/d/1IYY_tgx_IHuhSq3AJ5eI5OnqOPBNLWSHKh2a30DoXe8/edit?usp=sharing"",""นครศรีธรรมราช!J181"")"),0)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IFERROR(__xludf.DUMMYFUNCTION("IMPORTRANGE(""https://docs.google.com/spreadsheets/d/1IYY_tgx_IHuhSq3AJ5eI5OnqOPBNLWSHKh2a30DoXe8/edit?usp=sharing"",""นครศรีธรรมราช!I182"")"),0)</f>
        <v>0</v>
      </c>
      <c r="J267" s="195">
        <f ca="1">IFERROR(__xludf.DUMMYFUNCTION("IMPORTRANGE(""https://docs.google.com/spreadsheets/d/1IYY_tgx_IHuhSq3AJ5eI5OnqOPBNLWSHKh2a30DoXe8/edit?usp=sharing"",""นครศรีธรรมราช!J182"")"),0)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IFERROR(__xludf.DUMMYFUNCTION("IMPORTRANGE(""https://docs.google.com/spreadsheets/d/1IYY_tgx_IHuhSq3AJ5eI5OnqOPBNLWSHKh2a30DoXe8/edit?usp=sharing"",""นครศรีธรรมราช!J183"")"),0)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IFERROR(__xludf.DUMMYFUNCTION("IMPORTRANGE(""https://docs.google.com/spreadsheets/d/1Yj_ptqi66GCucihVvJfMjLAmec39IyEx_6qawtMGysU/edit?usp=sharing"",""สบก!CK84"")"),0)</f>
        <v>0</v>
      </c>
      <c r="N275" s="174">
        <f ca="1">IFERROR(__xludf.DUMMYFUNCTION("IMPORTRANGE(""https://docs.google.com/spreadsheets/d/1Yj_ptqi66GCucihVvJfMjLAmec39IyEx_6qawtMGysU/edit?usp=sharing"",""สบก!CL84"")"),0)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IFERROR(__xludf.DUMMYFUNCTION("IMPORTRANGE(""https://docs.google.com/spreadsheets/d/1Yj_ptqi66GCucihVvJfMjLAmec39IyEx_6qawtMGysU/edit?usp=sharing"",""สบก!CG84"")"),0)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IFERROR(__xludf.DUMMYFUNCTION("IMPORTRANGE(""https://docs.google.com/spreadsheets/d/1Yj_ptqi66GCucihVvJfMjLAmec39IyEx_6qawtMGysU/edit?usp=sharing"",""สบก!CH84"")"),0)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IFERROR(__xludf.DUMMYFUNCTION("IMPORTRANGE(""https://docs.google.com/spreadsheets/d/1IYY_tgx_IHuhSq3AJ5eI5OnqOPBNLWSHKh2a30DoXe8/edit?usp=sharing"",""นครศรีธรรมราช!J191"")"),0)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IFERROR(__xludf.DUMMYFUNCTION("IMPORTRANGE(""https://docs.google.com/spreadsheets/d/1IYY_tgx_IHuhSq3AJ5eI5OnqOPBNLWSHKh2a30DoXe8/edit?usp=sharing"",""นครศรีธรรมราช!J192"")"),0)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IFERROR(__xludf.DUMMYFUNCTION("IMPORTRANGE(""https://docs.google.com/spreadsheets/d/1IYY_tgx_IHuhSq3AJ5eI5OnqOPBNLWSHKh2a30DoXe8/edit?usp=sharing"",""นครศรีธรรมราช!J193"")"),0)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IFERROR(__xludf.DUMMYFUNCTION("IMPORTRANGE(""https://docs.google.com/spreadsheets/d/1IYY_tgx_IHuhSq3AJ5eI5OnqOPBNLWSHKh2a30DoXe8/edit?usp=sharing"",""นครศรีธรรมราช!J194"")"),0)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IFERROR(__xludf.DUMMYFUNCTION("IMPORTRANGE(""https://docs.google.com/spreadsheets/d/1IYY_tgx_IHuhSq3AJ5eI5OnqOPBNLWSHKh2a30DoXe8/edit?usp=sharing"",""นครศรีธรรมราช!I195"")"),0)</f>
        <v>0</v>
      </c>
      <c r="J285" s="195">
        <f ca="1">IFERROR(__xludf.DUMMYFUNCTION("IMPORTRANGE(""https://docs.google.com/spreadsheets/d/1IYY_tgx_IHuhSq3AJ5eI5OnqOPBNLWSHKh2a30DoXe8/edit?usp=sharing"",""นครศรีธรรมราช!J195"")"),0)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IFERROR(__xludf.DUMMYFUNCTION("IMPORTRANGE(""https://docs.google.com/spreadsheets/d/1IYY_tgx_IHuhSq3AJ5eI5OnqOPBNLWSHKh2a30DoXe8/edit?usp=sharing"",""นครศรีธรรมราช!J196"")"),0)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IFERROR(__xludf.DUMMYFUNCTION("IMPORTRANGE(""https://docs.google.com/spreadsheets/d/1IYY_tgx_IHuhSq3AJ5eI5OnqOPBNLWSHKh2a30DoXe8/edit?usp=sharing"",""นครศรีธรรมราช!J197"")"),0)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IFERROR(__xludf.DUMMYFUNCTION("IMPORTRANGE(""https://docs.google.com/spreadsheets/d/1Yj_ptqi66GCucihVvJfMjLAmec39IyEx_6qawtMGysU/edit?usp=sharing"",""สบก!CT84"")"),0)</f>
        <v>0</v>
      </c>
      <c r="N294" s="174">
        <f ca="1">IFERROR(__xludf.DUMMYFUNCTION("IMPORTRANGE(""https://docs.google.com/spreadsheets/d/1Yj_ptqi66GCucihVvJfMjLAmec39IyEx_6qawtMGysU/edit?usp=sharing"",""สบก!CU84"")"),0)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IFERROR(__xludf.DUMMYFUNCTION("IMPORTRANGE(""https://docs.google.com/spreadsheets/d/1Yj_ptqi66GCucihVvJfMjLAmec39IyEx_6qawtMGysU/edit?usp=sharing"",""สบก!CQ84"")"),0)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IFERROR(__xludf.DUMMYFUNCTION("IMPORTRANGE(""https://docs.google.com/spreadsheets/d/1IYY_tgx_IHuhSq3AJ5eI5OnqOPBNLWSHKh2a30DoXe8/edit?usp=sharing"",""นครศรีธรรมราช!J205"")"),0)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IFERROR(__xludf.DUMMYFUNCTION("IMPORTRANGE(""https://docs.google.com/spreadsheets/d/1IYY_tgx_IHuhSq3AJ5eI5OnqOPBNLWSHKh2a30DoXe8/edit?usp=sharing"",""นครศรีธรรมราช!J206"")"),0)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IFERROR(__xludf.DUMMYFUNCTION("IMPORTRANGE(""https://docs.google.com/spreadsheets/d/1IYY_tgx_IHuhSq3AJ5eI5OnqOPBNLWSHKh2a30DoXe8/edit?usp=sharing"",""นครศรีธรรมราช!J207"")"),0)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IFERROR(__xludf.DUMMYFUNCTION("IMPORTRANGE(""https://docs.google.com/spreadsheets/d/1IYY_tgx_IHuhSq3AJ5eI5OnqOPBNLWSHKh2a30DoXe8/edit?usp=sharing"",""นครศรีธรรมราช!J208"")"),0)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IFERROR(__xludf.DUMMYFUNCTION("IMPORTRANGE(""https://docs.google.com/spreadsheets/d/1IYY_tgx_IHuhSq3AJ5eI5OnqOPBNLWSHKh2a30DoXe8/edit?usp=sharing"",""นครศรีธรรมราช!I209"")"),0)</f>
        <v>0</v>
      </c>
      <c r="J304" s="210">
        <f ca="1">IFERROR(__xludf.DUMMYFUNCTION("IMPORTRANGE(""https://docs.google.com/spreadsheets/d/1IYY_tgx_IHuhSq3AJ5eI5OnqOPBNLWSHKh2a30DoXe8/edit?usp=sharing"",""นครศรีธรรมราช!J209"")"),0)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IFERROR(__xludf.DUMMYFUNCTION("IMPORTRANGE(""https://docs.google.com/spreadsheets/d/1IYY_tgx_IHuhSq3AJ5eI5OnqOPBNLWSHKh2a30DoXe8/edit?usp=sharing"",""นครศรีธรรมราช!I211"")"),0)</f>
        <v>0</v>
      </c>
      <c r="J306" s="210">
        <f ca="1">IFERROR(__xludf.DUMMYFUNCTION("IMPORTRANGE(""https://docs.google.com/spreadsheets/d/1IYY_tgx_IHuhSq3AJ5eI5OnqOPBNLWSHKh2a30DoXe8/edit?usp=sharing"",""นครศรีธรรมราช!J211"")"),0)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IFERROR(__xludf.DUMMYFUNCTION("IMPORTRANGE(""https://docs.google.com/spreadsheets/d/1IYY_tgx_IHuhSq3AJ5eI5OnqOPBNLWSHKh2a30DoXe8/edit?usp=sharing"",""นครศรีธรรมราช!J212"")"),0)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IFERROR(__xludf.DUMMYFUNCTION("IMPORTRANGE(""https://docs.google.com/spreadsheets/d/1Yj_ptqi66GCucihVvJfMjLAmec39IyEx_6qawtMGysU/edit?usp=sharing"",""สบก!DC84"")"),0)</f>
        <v>0</v>
      </c>
      <c r="N314" s="174">
        <f ca="1">IFERROR(__xludf.DUMMYFUNCTION("IMPORTRANGE(""https://docs.google.com/spreadsheets/d/1Yj_ptqi66GCucihVvJfMjLAmec39IyEx_6qawtMGysU/edit?usp=sharing"",""สบก!DD84"")"),0)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IFERROR(__xludf.DUMMYFUNCTION("IMPORTRANGE(""https://docs.google.com/spreadsheets/d/1Yj_ptqi66GCucihVvJfMjLAmec39IyEx_6qawtMGysU/edit?usp=sharing"",""สบก!CZ84"")"),0)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IFERROR(__xludf.DUMMYFUNCTION("IMPORTRANGE(""https://docs.google.com/spreadsheets/d/1IYY_tgx_IHuhSq3AJ5eI5OnqOPBNLWSHKh2a30DoXe8/edit?usp=sharing"",""นครศรีธรรมราช!J220"")"),0)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IFERROR(__xludf.DUMMYFUNCTION("IMPORTRANGE(""https://docs.google.com/spreadsheets/d/1IYY_tgx_IHuhSq3AJ5eI5OnqOPBNLWSHKh2a30DoXe8/edit?usp=sharing"",""นครศรีธรรมราช!J221"")"),0)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IFERROR(__xludf.DUMMYFUNCTION("IMPORTRANGE(""https://docs.google.com/spreadsheets/d/1IYY_tgx_IHuhSq3AJ5eI5OnqOPBNLWSHKh2a30DoXe8/edit?usp=sharing"",""นครศรีธรรมราช!J222"")"),0)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IFERROR(__xludf.DUMMYFUNCTION("IMPORTRANGE(""https://docs.google.com/spreadsheets/d/1IYY_tgx_IHuhSq3AJ5eI5OnqOPBNLWSHKh2a30DoXe8/edit?usp=sharing"",""นครศรีธรรมราช!J223"")"),0)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IFERROR(__xludf.DUMMYFUNCTION("IMPORTRANGE(""https://docs.google.com/spreadsheets/d/1IYY_tgx_IHuhSq3AJ5eI5OnqOPBNLWSHKh2a30DoXe8/edit?usp=sharing"",""นครศรีธรรมราช!I224"")"),0)</f>
        <v>0</v>
      </c>
      <c r="J324" s="210">
        <f ca="1">IFERROR(__xludf.DUMMYFUNCTION("IMPORTRANGE(""https://docs.google.com/spreadsheets/d/1IYY_tgx_IHuhSq3AJ5eI5OnqOPBNLWSHKh2a30DoXe8/edit?usp=sharing"",""นครศรีธรรมราช!J224"")"),0)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IFERROR(__xludf.DUMMYFUNCTION("IMPORTRANGE(""https://docs.google.com/spreadsheets/d/1IYY_tgx_IHuhSq3AJ5eI5OnqOPBNLWSHKh2a30DoXe8/edit?usp=sharing"",""นครศรีธรรมราช!J225"")"),0)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IFERROR(__xludf.DUMMYFUNCTION("IMPORTRANGE(""https://docs.google.com/spreadsheets/d/1IYY_tgx_IHuhSq3AJ5eI5OnqOPBNLWSHKh2a30DoXe8/edit?usp=sharing"",""นครศรีธรรมราช!J226"")"),0)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IFERROR(__xludf.DUMMYFUNCTION("IMPORTRANGE(""https://docs.google.com/spreadsheets/d/1IYY_tgx_IHuhSq3AJ5eI5OnqOPBNLWSHKh2a30DoXe8/edit?usp=sharing"",""นครศรีธรรมราช!I228"")"),650)</f>
        <v>650</v>
      </c>
      <c r="J328" s="345">
        <f ca="1">IFERROR(__xludf.DUMMYFUNCTION("IMPORTRANGE(""https://docs.google.com/spreadsheets/d/1IYY_tgx_IHuhSq3AJ5eI5OnqOPBNLWSHKh2a30DoXe8/edit?usp=sharing"",""นครศรีธรรมราช!J228"")"),397)</f>
        <v>397</v>
      </c>
      <c r="K328" s="323">
        <f ca="1">IF(I328&gt;0,J328*100/I328,0)</f>
        <v>61.07692307692308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769440</v>
      </c>
      <c r="M329" s="156">
        <f t="shared" ca="1" si="98"/>
        <v>1013740</v>
      </c>
      <c r="N329" s="156">
        <f t="shared" ca="1" si="98"/>
        <v>775388.71</v>
      </c>
      <c r="O329" s="155">
        <f t="shared" ref="O329:O331" ca="1" si="99">IF(L329&gt;0,N329*100/L329,0)</f>
        <v>100.77312201081305</v>
      </c>
      <c r="P329" s="155">
        <f t="shared" ref="P329:P331" ca="1" si="100">IF(M329&gt;0,N329*100/M329,0)</f>
        <v>76.487926884605514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769440</v>
      </c>
      <c r="M331" s="161">
        <f t="shared" ca="1" si="102"/>
        <v>1013740</v>
      </c>
      <c r="N331" s="161">
        <f t="shared" ca="1" si="102"/>
        <v>775388.71</v>
      </c>
      <c r="O331" s="160">
        <f t="shared" ca="1" si="99"/>
        <v>100.77312201081305</v>
      </c>
      <c r="P331" s="160">
        <f t="shared" ca="1" si="100"/>
        <v>76.487926884605514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755940</v>
      </c>
      <c r="M333" s="173">
        <f ca="1">IFERROR(__xludf.DUMMYFUNCTION("IMPORTRANGE(""https://docs.google.com/spreadsheets/d/1Yj_ptqi66GCucihVvJfMjLAmec39IyEx_6qawtMGysU/edit?usp=sharing"",""สบก!DL84"")"),1000240)</f>
        <v>1000240</v>
      </c>
      <c r="N333" s="174">
        <f ca="1">IFERROR(__xludf.DUMMYFUNCTION("IMPORTRANGE(""https://docs.google.com/spreadsheets/d/1Yj_ptqi66GCucihVvJfMjLAmec39IyEx_6qawtMGysU/edit?usp=sharing"",""สบก!DM84"")"),761888.71)</f>
        <v>761888.71</v>
      </c>
      <c r="O333" s="175">
        <f ca="1">IF(L333&gt;0,N333*100/L333,0)</f>
        <v>100.78692885678758</v>
      </c>
      <c r="P333" s="175">
        <f ca="1">IF(M333&gt;0,N333*100/M333,0)</f>
        <v>76.170590058385983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IFERROR(__xludf.DUMMYFUNCTION("IMPORTRANGE(""https://docs.google.com/spreadsheets/d/1Yj_ptqi66GCucihVvJfMjLAmec39IyEx_6qawtMGysU/edit?usp=sharing"",""สบก!DH84"")"),194400)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IFERROR(__xludf.DUMMYFUNCTION("IMPORTRANGE(""https://docs.google.com/spreadsheets/d/1Yj_ptqi66GCucihVvJfMjLAmec39IyEx_6qawtMGysU/edit?usp=sharing"",""สบก!DI84"")"),561540)</f>
        <v>561540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IFERROR(__xludf.DUMMYFUNCTION("IMPORTRANGE(""https://docs.google.com/spreadsheets/d/1IYY_tgx_IHuhSq3AJ5eI5OnqOPBNLWSHKh2a30DoXe8/edit?usp=sharing"",""นครศรีธรรมราช!I234"")"),0)</f>
        <v>0</v>
      </c>
      <c r="J339" s="194">
        <f ca="1">IFERROR(__xludf.DUMMYFUNCTION("IMPORTRANGE(""https://docs.google.com/spreadsheets/d/1IYY_tgx_IHuhSq3AJ5eI5OnqOPBNLWSHKh2a30DoXe8/edit?usp=sharing"",""นครศรีธรรมราช!J234"")"),390)</f>
        <v>390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IFERROR(__xludf.DUMMYFUNCTION("IMPORTRANGE(""https://docs.google.com/spreadsheets/d/1IYY_tgx_IHuhSq3AJ5eI5OnqOPBNLWSHKh2a30DoXe8/edit?usp=sharing"",""นครศรีธรรมราช!I235"")"),3500)</f>
        <v>3500</v>
      </c>
      <c r="J340" s="194">
        <f ca="1">IFERROR(__xludf.DUMMYFUNCTION("IMPORTRANGE(""https://docs.google.com/spreadsheets/d/1IYY_tgx_IHuhSq3AJ5eI5OnqOPBNLWSHKh2a30DoXe8/edit?usp=sharing"",""นครศรีธรรมราช!J235"")"),2809.24)</f>
        <v>2809.24</v>
      </c>
      <c r="K340" s="348">
        <f t="shared" ca="1" si="103"/>
        <v>80.263999999999996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IFERROR(__xludf.DUMMYFUNCTION("IMPORTRANGE(""https://docs.google.com/spreadsheets/d/1IYY_tgx_IHuhSq3AJ5eI5OnqOPBNLWSHKh2a30DoXe8/edit?usp=sharing"",""นครศรีธรรมราช!I236"")"),650)</f>
        <v>650</v>
      </c>
      <c r="J341" s="194">
        <f ca="1">IFERROR(__xludf.DUMMYFUNCTION("IMPORTRANGE(""https://docs.google.com/spreadsheets/d/1IYY_tgx_IHuhSq3AJ5eI5OnqOPBNLWSHKh2a30DoXe8/edit?usp=sharing"",""นครศรีธรรมราช!J236"")"),638)</f>
        <v>638</v>
      </c>
      <c r="K341" s="348">
        <f t="shared" ca="1" si="103"/>
        <v>98.15384615384616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4">
        <f ca="1">IFERROR(__xludf.DUMMYFUNCTION("IMPORTRANGE(""https://docs.google.com/spreadsheets/d/1IYY_tgx_IHuhSq3AJ5eI5OnqOPBNLWSHKh2a30DoXe8/edit?usp=sharing"",""นครศรีธรรมราช!J237"")"),5645.96999999999)</f>
        <v>5645.9699999999903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IFERROR(__xludf.DUMMYFUNCTION("IMPORTRANGE(""https://docs.google.com/spreadsheets/d/1IYY_tgx_IHuhSq3AJ5eI5OnqOPBNLWSHKh2a30DoXe8/edit?usp=sharing"",""นครศรีธรรมราช!I238"")"),650)</f>
        <v>650</v>
      </c>
      <c r="J343" s="194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4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IFERROR(__xludf.DUMMYFUNCTION("IMPORTRANGE(""https://docs.google.com/spreadsheets/d/1IYY_tgx_IHuhSq3AJ5eI5OnqOPBNLWSHKh2a30DoXe8/edit?usp=sharing"",""นครศรีธรรมราช!I240"")"),650)</f>
        <v>650</v>
      </c>
      <c r="J345" s="194">
        <f ca="1">IFERROR(__xludf.DUMMYFUNCTION("IMPORTRANGE(""https://docs.google.com/spreadsheets/d/1IYY_tgx_IHuhSq3AJ5eI5OnqOPBNLWSHKh2a30DoXe8/edit?usp=sharing"",""นครศรีธรรมราช!J240"")"),397)</f>
        <v>397</v>
      </c>
      <c r="K345" s="348">
        <f t="shared" ca="1" si="103"/>
        <v>61.07692307692308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4">
        <f ca="1">IFERROR(__xludf.DUMMYFUNCTION("IMPORTRANGE(""https://docs.google.com/spreadsheets/d/1IYY_tgx_IHuhSq3AJ5eI5OnqOPBNLWSHKh2a30DoXe8/edit?usp=sharing"",""นครศรีธรรมราช!J241"")"),3916.66)</f>
        <v>3916.66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IFERROR(__xludf.DUMMYFUNCTION("IMPORTRANGE(""https://docs.google.com/spreadsheets/d/1IYY_tgx_IHuhSq3AJ5eI5OnqOPBNLWSHKh2a30DoXe8/edit?usp=sharing"",""นครศรีธรรมราช!L242"")"),1211431)</f>
        <v>1211431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IFERROR(__xludf.DUMMYFUNCTION("IMPORTRANGE(""https://docs.google.com/spreadsheets/d/1IYY_tgx_IHuhSq3AJ5eI5OnqOPBNLWSHKh2a30DoXe8/edit?usp=sharing"",""นครศรีธรรมราช!M242"")"),773883.86)</f>
        <v>773883.86</v>
      </c>
      <c r="O347" s="364">
        <f ca="1">+IF(L347&gt;0,N347*100/L347,0)</f>
        <v>63.881794340742481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IFERROR(__xludf.DUMMYFUNCTION("IMPORTRANGE(""https://docs.google.com/spreadsheets/d/1IYY_tgx_IHuhSq3AJ5eI5OnqOPBNLWSHKh2a30DoXe8/edit?usp=sharing"",""นครศรีธรรมราช!L246"")"),0)</f>
        <v>0</v>
      </c>
      <c r="M351" s="168"/>
      <c r="N351" s="168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8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IFERROR(__xludf.DUMMYFUNCTION("IMPORTRANGE(""https://docs.google.com/spreadsheets/d/1IYY_tgx_IHuhSq3AJ5eI5OnqOPBNLWSHKh2a30DoXe8/edit?usp=sharing"",""นครศรีธรรมราช!L248"")"),0)</f>
        <v>0</v>
      </c>
      <c r="M353" s="175"/>
      <c r="N353" s="175">
        <f ca="1">IFERROR(__xludf.DUMMYFUNCTION("IMPORTRANGE(""https://docs.google.com/spreadsheets/d/1IYY_tgx_IHuhSq3AJ5eI5OnqOPBNLWSHKh2a30DoXe8/edit?usp=sharing"",""นครศรีธรรมราช!M248"")"),0)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IFERROR(__xludf.DUMMYFUNCTION("IMPORTRANGE(""https://docs.google.com/spreadsheets/d/1IYY_tgx_IHuhSq3AJ5eI5OnqOPBNLWSHKh2a30DoXe8/edit?usp=sharing"",""นครศรีธรรมราช!L249"")"),0)</f>
        <v>0</v>
      </c>
      <c r="M354" s="175"/>
      <c r="N354" s="172">
        <f ca="1">IFERROR(__xludf.DUMMYFUNCTION("IMPORTRANGE(""https://docs.google.com/spreadsheets/d/1IYY_tgx_IHuhSq3AJ5eI5OnqOPBNLWSHKh2a30DoXe8/edit?usp=sharing"",""นครศรีธรรมราช!M249"")"),0)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IFERROR(__xludf.DUMMYFUNCTION("IMPORTRANGE(""https://docs.google.com/spreadsheets/d/1IYY_tgx_IHuhSq3AJ5eI5OnqOPBNLWSHKh2a30DoXe8/edit?usp=sharing"",""นครศรีธรรมราช!J255"")"),0)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IFERROR(__xludf.DUMMYFUNCTION("IMPORTRANGE(""https://docs.google.com/spreadsheets/d/1IYY_tgx_IHuhSq3AJ5eI5OnqOPBNLWSHKh2a30DoXe8/edit?usp=sharing"",""นครศรีธรรมราช!J256"")"),0)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IFERROR(__xludf.DUMMYFUNCTION("IMPORTRANGE(""https://docs.google.com/spreadsheets/d/1IYY_tgx_IHuhSq3AJ5eI5OnqOPBNLWSHKh2a30DoXe8/edit?usp=sharing"",""นครศรีธรรมราช!J257"")"),0)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IFERROR(__xludf.DUMMYFUNCTION("IMPORTRANGE(""https://docs.google.com/spreadsheets/d/1IYY_tgx_IHuhSq3AJ5eI5OnqOPBNLWSHKh2a30DoXe8/edit?usp=sharing"",""นครศรีธรรมราช!J258"")"),0)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IFERROR(__xludf.DUMMYFUNCTION("IMPORTRANGE(""https://docs.google.com/spreadsheets/d/1IYY_tgx_IHuhSq3AJ5eI5OnqOPBNLWSHKh2a30DoXe8/edit?usp=sharing"",""นครศรีธรรมราช!J166"")"),0)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IFERROR(__xludf.DUMMYFUNCTION("IMPORTRANGE(""https://docs.google.com/spreadsheets/d/1IYY_tgx_IHuhSq3AJ5eI5OnqOPBNLWSHKh2a30DoXe8/edit?usp=sharing"",""นครศรีธรรมราช!J166"")"),0)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IFERROR(__xludf.DUMMYFUNCTION("IMPORTRANGE(""https://docs.google.com/spreadsheets/d/1IYY_tgx_IHuhSq3AJ5eI5OnqOPBNLWSHKh2a30DoXe8/edit?usp=sharing"",""นครศรีธรรมราช!J166"")"),0)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IFERROR(__xludf.DUMMYFUNCTION("IMPORTRANGE(""https://docs.google.com/spreadsheets/d/1IYY_tgx_IHuhSq3AJ5eI5OnqOPBNLWSHKh2a30DoXe8/edit?usp=sharing"",""นครศรีธรรมราช!J166"")"),0)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IFERROR(__xludf.DUMMYFUNCTION("IMPORTRANGE(""https://docs.google.com/spreadsheets/d/1IYY_tgx_IHuhSq3AJ5eI5OnqOPBNLWSHKh2a30DoXe8/edit?usp=sharing"",""นครศรีธรรมราช!I263"")"),0)</f>
        <v>0</v>
      </c>
      <c r="J368" s="194">
        <f ca="1">IFERROR(__xludf.DUMMYFUNCTION("IMPORTRANGE(""https://docs.google.com/spreadsheets/d/1IYY_tgx_IHuhSq3AJ5eI5OnqOPBNLWSHKh2a30DoXe8/edit?usp=sharing"",""นครศรีธรรมราช!J263"")"),0)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IFERROR(__xludf.DUMMYFUNCTION("IMPORTRANGE(""https://docs.google.com/spreadsheets/d/1IYY_tgx_IHuhSq3AJ5eI5OnqOPBNLWSHKh2a30DoXe8/edit?usp=sharing"",""นครศรีธรรมราช!I164"")"),0)</f>
        <v>0</v>
      </c>
      <c r="J369" s="210">
        <f ca="1">IFERROR(__xludf.DUMMYFUNCTION("IMPORTRANGE(""https://docs.google.com/spreadsheets/d/1IYY_tgx_IHuhSq3AJ5eI5OnqOPBNLWSHKh2a30DoXe8/edit?usp=sharing"",""นครศรีธรรมราช!J164"")"),0)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IFERROR(__xludf.DUMMYFUNCTION("IMPORTRANGE(""https://docs.google.com/spreadsheets/d/1IYY_tgx_IHuhSq3AJ5eI5OnqOPBNLWSHKh2a30DoXe8/edit?usp=sharing"",""นครศรีธรรมราช!I265"")"),0)</f>
        <v>0</v>
      </c>
      <c r="J370" s="210">
        <f ca="1">IFERROR(__xludf.DUMMYFUNCTION("IMPORTRANGE(""https://docs.google.com/spreadsheets/d/1IYY_tgx_IHuhSq3AJ5eI5OnqOPBNLWSHKh2a30DoXe8/edit?usp=sharing"",""นครศรีธรรมราช!J265"")"),0)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IFERROR(__xludf.DUMMYFUNCTION("IMPORTRANGE(""https://docs.google.com/spreadsheets/d/1IYY_tgx_IHuhSq3AJ5eI5OnqOPBNLWSHKh2a30DoXe8/edit?usp=sharing"",""นครศรีธรรมราช!I164"")"),0)</f>
        <v>0</v>
      </c>
      <c r="J371" s="195">
        <f ca="1">IFERROR(__xludf.DUMMYFUNCTION("IMPORTRANGE(""https://docs.google.com/spreadsheets/d/1IYY_tgx_IHuhSq3AJ5eI5OnqOPBNLWSHKh2a30DoXe8/edit?usp=sharing"",""นครศรีธรรมราช!J164"")"),0)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IFERROR(__xludf.DUMMYFUNCTION("IMPORTRANGE(""https://docs.google.com/spreadsheets/d/1IYY_tgx_IHuhSq3AJ5eI5OnqOPBNLWSHKh2a30DoXe8/edit?usp=sharing"",""นครศรีธรรมราช!I267"")"),0)</f>
        <v>0</v>
      </c>
      <c r="J372" s="195">
        <f ca="1">IFERROR(__xludf.DUMMYFUNCTION("IMPORTRANGE(""https://docs.google.com/spreadsheets/d/1IYY_tgx_IHuhSq3AJ5eI5OnqOPBNLWSHKh2a30DoXe8/edit?usp=sharing"",""นครศรีธรรมราช!J267"")"),0)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IFERROR(__xludf.DUMMYFUNCTION("IMPORTRANGE(""https://docs.google.com/spreadsheets/d/1IYY_tgx_IHuhSq3AJ5eI5OnqOPBNLWSHKh2a30DoXe8/edit?usp=sharing"",""นครศรีธรรมราช!I164"")"),0)</f>
        <v>0</v>
      </c>
      <c r="J373" s="210">
        <f ca="1">IFERROR(__xludf.DUMMYFUNCTION("IMPORTRANGE(""https://docs.google.com/spreadsheets/d/1IYY_tgx_IHuhSq3AJ5eI5OnqOPBNLWSHKh2a30DoXe8/edit?usp=sharing"",""นครศรีธรรมราช!J164"")"),0)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IFERROR(__xludf.DUMMYFUNCTION("IMPORTRANGE(""https://docs.google.com/spreadsheets/d/1IYY_tgx_IHuhSq3AJ5eI5OnqOPBNLWSHKh2a30DoXe8/edit?usp=sharing"",""นครศรีธรรมราช!I164"")"),0)</f>
        <v>0</v>
      </c>
      <c r="J374" s="194">
        <f ca="1">IFERROR(__xludf.DUMMYFUNCTION("IMPORTRANGE(""https://docs.google.com/spreadsheets/d/1IYY_tgx_IHuhSq3AJ5eI5OnqOPBNLWSHKh2a30DoXe8/edit?usp=sharing"",""นครศรีธรรมราช!J164"")"),0)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IFERROR(__xludf.DUMMYFUNCTION("IMPORTRANGE(""https://docs.google.com/spreadsheets/d/1IYY_tgx_IHuhSq3AJ5eI5OnqOPBNLWSHKh2a30DoXe8/edit?usp=sharing"",""นครศรีธรรมราช!I270"")"),0)</f>
        <v>0</v>
      </c>
      <c r="J375" s="194">
        <f ca="1">IFERROR(__xludf.DUMMYFUNCTION("IMPORTRANGE(""https://docs.google.com/spreadsheets/d/1IYY_tgx_IHuhSq3AJ5eI5OnqOPBNLWSHKh2a30DoXe8/edit?usp=sharing"",""นครศรีธรรมราช!J270"")"),0)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IFERROR(__xludf.DUMMYFUNCTION("IMPORTRANGE(""https://docs.google.com/spreadsheets/d/1IYY_tgx_IHuhSq3AJ5eI5OnqOPBNLWSHKh2a30DoXe8/edit?usp=sharing"",""นครศรีธรรมราช!I271"")"),0)</f>
        <v>0</v>
      </c>
      <c r="J376" s="195">
        <f ca="1">IFERROR(__xludf.DUMMYFUNCTION("IMPORTRANGE(""https://docs.google.com/spreadsheets/d/1IYY_tgx_IHuhSq3AJ5eI5OnqOPBNLWSHKh2a30DoXe8/edit?usp=sharing"",""นครศรีธรรมราช!J271"")"),0)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IFERROR(__xludf.DUMMYFUNCTION("IMPORTRANGE(""https://docs.google.com/spreadsheets/d/1IYY_tgx_IHuhSq3AJ5eI5OnqOPBNLWSHKh2a30DoXe8/edit?usp=sharing"",""นครศรีธรรมราช!I272"")"),0)</f>
        <v>0</v>
      </c>
      <c r="J377" s="210">
        <f ca="1">IFERROR(__xludf.DUMMYFUNCTION("IMPORTRANGE(""https://docs.google.com/spreadsheets/d/1IYY_tgx_IHuhSq3AJ5eI5OnqOPBNLWSHKh2a30DoXe8/edit?usp=sharing"",""นครศรีธรรมราช!J272"")"),0)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IFERROR(__xludf.DUMMYFUNCTION("IMPORTRANGE(""https://docs.google.com/spreadsheets/d/1IYY_tgx_IHuhSq3AJ5eI5OnqOPBNLWSHKh2a30DoXe8/edit?usp=sharing"",""นครศรีธรรมราช!J273"")"),0)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IFERROR(__xludf.DUMMYFUNCTION("IMPORTRANGE(""https://docs.google.com/spreadsheets/d/1IYY_tgx_IHuhSq3AJ5eI5OnqOPBNLWSHKh2a30DoXe8/edit?usp=sharing"",""นครศรีธรรมราช!J274"")"),0)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IFERROR(__xludf.DUMMYFUNCTION("IMPORTRANGE(""https://docs.google.com/spreadsheets/d/1IYY_tgx_IHuhSq3AJ5eI5OnqOPBNLWSHKh2a30DoXe8/edit?usp=sharing"",""นครศรีธรรมราช!J275"")"),200)</f>
        <v>200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IFERROR(__xludf.DUMMYFUNCTION("IMPORTRANGE(""https://docs.google.com/spreadsheets/d/1IYY_tgx_IHuhSq3AJ5eI5OnqOPBNLWSHKh2a30DoXe8/edit?usp=sharing"",""นครศรีธรรมราช!M275"")"),143710.2)</f>
        <v>143710.20000000001</v>
      </c>
      <c r="O380" s="379">
        <f ca="1">+IF(L380&gt;0,N380*100/L380,0)</f>
        <v>69.237907111196776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IFERROR(__xludf.DUMMYFUNCTION("IMPORTRANGE(""https://docs.google.com/spreadsheets/d/1IYY_tgx_IHuhSq3AJ5eI5OnqOPBNLWSHKh2a30DoXe8/edit?usp=sharing"",""นครศรีธรรมราช!L277"")"),0)</f>
        <v>0</v>
      </c>
      <c r="M382" s="168"/>
      <c r="N382" s="168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IFERROR(__xludf.DUMMYFUNCTION("IMPORTRANGE(""https://docs.google.com/spreadsheets/d/1IYY_tgx_IHuhSq3AJ5eI5OnqOPBNLWSHKh2a30DoXe8/edit?usp=sharing"",""นครศรีธรรมราช!M278"")"),143710.2)</f>
        <v>143710.20000000001</v>
      </c>
      <c r="O383" s="169">
        <f t="shared" ca="1" si="109"/>
        <v>69.237907111196776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IFERROR(__xludf.DUMMYFUNCTION("IMPORTRANGE(""https://docs.google.com/spreadsheets/d/1IYY_tgx_IHuhSq3AJ5eI5OnqOPBNLWSHKh2a30DoXe8/edit?usp=sharing"",""นครศรีธรรมราช!L279"")"),0)</f>
        <v>0</v>
      </c>
      <c r="M384" s="175"/>
      <c r="N384" s="175">
        <f ca="1">IFERROR(__xludf.DUMMYFUNCTION("IMPORTRANGE(""https://docs.google.com/spreadsheets/d/1IYY_tgx_IHuhSq3AJ5eI5OnqOPBNLWSHKh2a30DoXe8/edit?usp=sharing"",""นครศรีธรรมราช!M279"")"),0)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IFERROR(__xludf.DUMMYFUNCTION("IMPORTRANGE(""https://docs.google.com/spreadsheets/d/1IYY_tgx_IHuhSq3AJ5eI5OnqOPBNLWSHKh2a30DoXe8/edit?usp=sharing"",""นครศรีธรรมราช!M280"")"),143710.2)</f>
        <v>143710.20000000001</v>
      </c>
      <c r="O385" s="175">
        <f t="shared" ca="1" si="109"/>
        <v>69.237907111196776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IFERROR(__xludf.DUMMYFUNCTION("IMPORTRANGE(""https://docs.google.com/spreadsheets/d/1IYY_tgx_IHuhSq3AJ5eI5OnqOPBNLWSHKh2a30DoXe8/edit?usp=sharing"",""นครศรีธรรมราช!M282"")"),108397)</f>
        <v>108397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IFERROR(__xludf.DUMMYFUNCTION("IMPORTRANGE(""https://docs.google.com/spreadsheets/d/1IYY_tgx_IHuhSq3AJ5eI5OnqOPBNLWSHKh2a30DoXe8/edit?usp=sharing"",""นครศรีธรรมราช!M284"")"),12277.2)</f>
        <v>12277.2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IFERROR(__xludf.DUMMYFUNCTION("IMPORTRANGE(""https://docs.google.com/spreadsheets/d/1IYY_tgx_IHuhSq3AJ5eI5OnqOPBNLWSHKh2a30DoXe8/edit?usp=sharing"",""นครศรีธรรมราช!J286"")"),0)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IFERROR(__xludf.DUMMYFUNCTION("IMPORTRANGE(""https://docs.google.com/spreadsheets/d/1IYY_tgx_IHuhSq3AJ5eI5OnqOPBNLWSHKh2a30DoXe8/edit?usp=sharing"",""นครศรีธรรมราช!J287"")"),1)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IFERROR(__xludf.DUMMYFUNCTION("IMPORTRANGE(""https://docs.google.com/spreadsheets/d/1IYY_tgx_IHuhSq3AJ5eI5OnqOPBNLWSHKh2a30DoXe8/edit?usp=sharing"",""นครศรีธรรมราช!J288"")"),1)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IFERROR(__xludf.DUMMYFUNCTION("IMPORTRANGE(""https://docs.google.com/spreadsheets/d/1IYY_tgx_IHuhSq3AJ5eI5OnqOPBNLWSHKh2a30DoXe8/edit?usp=sharing"",""นครศรีธรรมราช!J289"")"),1)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4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4">
        <f ca="1">IFERROR(__xludf.DUMMYFUNCTION("IMPORTRANGE(""https://docs.google.com/spreadsheets/d/1IYY_tgx_IHuhSq3AJ5eI5OnqOPBNLWSHKh2a30DoXe8/edit?usp=sharing"",""นครศรีธรรมราช!J292"")"),200)</f>
        <v>200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4">
        <f ca="1">IFERROR(__xludf.DUMMYFUNCTION("IMPORTRANGE(""https://docs.google.com/spreadsheets/d/1IYY_tgx_IHuhSq3AJ5eI5OnqOPBNLWSHKh2a30DoXe8/edit?usp=sharing"",""นครศรีธรรมราช!J293"")"),99)</f>
        <v>99</v>
      </c>
      <c r="K398" s="167">
        <f t="shared" ca="1" si="110"/>
        <v>495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IFERROR(__xludf.DUMMYFUNCTION("IMPORTRANGE(""https://docs.google.com/spreadsheets/d/1IYY_tgx_IHuhSq3AJ5eI5OnqOPBNLWSHKh2a30DoXe8/edit?usp=sharing"",""นครศรีธรรมราช!J294"")"),0)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IFERROR(__xludf.DUMMYFUNCTION("IMPORTRANGE(""https://docs.google.com/spreadsheets/d/1IYY_tgx_IHuhSq3AJ5eI5OnqOPBNLWSHKh2a30DoXe8/edit?usp=sharing"",""นครศรีธรรมราช!J295"")"),0)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IFERROR(__xludf.DUMMYFUNCTION("IMPORTRANGE(""https://docs.google.com/spreadsheets/d/1IYY_tgx_IHuhSq3AJ5eI5OnqOPBNLWSHKh2a30DoXe8/edit?usp=sharing"",""นครศรีธรรมราช!J296"")"),120)</f>
        <v>120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IFERROR(__xludf.DUMMYFUNCTION("IMPORTRANGE(""https://docs.google.com/spreadsheets/d/1IYY_tgx_IHuhSq3AJ5eI5OnqOPBNLWSHKh2a30DoXe8/edit?usp=sharing"",""นครศรีธรรมราช!M296"")"),95392)</f>
        <v>95392</v>
      </c>
      <c r="O401" s="379">
        <f ca="1">+IF(L401&gt;0,N401*100/L401,0)</f>
        <v>83.123039386545841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IFERROR(__xludf.DUMMYFUNCTION("IMPORTRANGE(""https://docs.google.com/spreadsheets/d/1IYY_tgx_IHuhSq3AJ5eI5OnqOPBNLWSHKh2a30DoXe8/edit?usp=sharing"",""นครศรีธรรมราช!J297"")"),40)</f>
        <v>40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IFERROR(__xludf.DUMMYFUNCTION("IMPORTRANGE(""https://docs.google.com/spreadsheets/d/1IYY_tgx_IHuhSq3AJ5eI5OnqOPBNLWSHKh2a30DoXe8/edit?usp=sharing"",""นครศรีธรรมราช!L298"")"),0)</f>
        <v>0</v>
      </c>
      <c r="M403" s="168"/>
      <c r="N403" s="175">
        <f ca="1">IFERROR(__xludf.DUMMYFUNCTION("IMPORTRANGE(""https://docs.google.com/spreadsheets/d/1IYY_tgx_IHuhSq3AJ5eI5OnqOPBNLWSHKh2a30DoXe8/edit?usp=sharing"",""นครศรีธรรมราช!M298"")"),0)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5">
        <f ca="1">IFERROR(__xludf.DUMMYFUNCTION("IMPORTRANGE(""https://docs.google.com/spreadsheets/d/1IYY_tgx_IHuhSq3AJ5eI5OnqOPBNLWSHKh2a30DoXe8/edit?usp=sharing"",""นครศรีธรรมราช!M299"")"),95392)</f>
        <v>95392</v>
      </c>
      <c r="O404" s="175">
        <f t="shared" ca="1" si="112"/>
        <v>83.123039386545841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IFERROR(__xludf.DUMMYFUNCTION("IMPORTRANGE(""https://docs.google.com/spreadsheets/d/1IYY_tgx_IHuhSq3AJ5eI5OnqOPBNLWSHKh2a30DoXe8/edit?usp=sharing"",""นครศรีธรรมราช!L300"")"),0)</f>
        <v>0</v>
      </c>
      <c r="M405" s="175"/>
      <c r="N405" s="175">
        <f ca="1">IFERROR(__xludf.DUMMYFUNCTION("IMPORTRANGE(""https://docs.google.com/spreadsheets/d/1IYY_tgx_IHuhSq3AJ5eI5OnqOPBNLWSHKh2a30DoXe8/edit?usp=sharing"",""นครศรีธรรมราช!M300"")"),0)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5"/>
      <c r="N406" s="175">
        <f ca="1">IFERROR(__xludf.DUMMYFUNCTION("IMPORTRANGE(""https://docs.google.com/spreadsheets/d/1IYY_tgx_IHuhSq3AJ5eI5OnqOPBNLWSHKh2a30DoXe8/edit?usp=sharing"",""นครศรีธรรมราช!M301"")"),95392)</f>
        <v>95392</v>
      </c>
      <c r="O406" s="175">
        <f t="shared" ca="1" si="112"/>
        <v>83.123039386545841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IFERROR(__xludf.DUMMYFUNCTION("IMPORTRANGE(""https://docs.google.com/spreadsheets/d/1IYY_tgx_IHuhSq3AJ5eI5OnqOPBNLWSHKh2a30DoXe8/edit?usp=sharing"",""นครศรีธรรมราช!M302"")"),75000)</f>
        <v>75000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IFERROR(__xludf.DUMMYFUNCTION("IMPORTRANGE(""https://docs.google.com/spreadsheets/d/1IYY_tgx_IHuhSq3AJ5eI5OnqOPBNLWSHKh2a30DoXe8/edit?usp=sharing"",""นครศรีธรรมราช!M303"")"),0)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IFERROR(__xludf.DUMMYFUNCTION("IMPORTRANGE(""https://docs.google.com/spreadsheets/d/1IYY_tgx_IHuhSq3AJ5eI5OnqOPBNLWSHKh2a30DoXe8/edit?usp=sharing"",""นครศรีธรรมราช!M305"")"),20392)</f>
        <v>20392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IFERROR(__xludf.DUMMYFUNCTION("IMPORTRANGE(""https://docs.google.com/spreadsheets/d/1IYY_tgx_IHuhSq3AJ5eI5OnqOPBNLWSHKh2a30DoXe8/edit?usp=sharing"",""นครศรีธรรมราช!J307"")"),0)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IFERROR(__xludf.DUMMYFUNCTION("IMPORTRANGE(""https://docs.google.com/spreadsheets/d/1IYY_tgx_IHuhSq3AJ5eI5OnqOPBNLWSHKh2a30DoXe8/edit?usp=sharing"",""นครศรีธรรมราช!J308"")"),1)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IFERROR(__xludf.DUMMYFUNCTION("IMPORTRANGE(""https://docs.google.com/spreadsheets/d/1IYY_tgx_IHuhSq3AJ5eI5OnqOPBNLWSHKh2a30DoXe8/edit?usp=sharing"",""นครศรีธรรมราช!J309"")"),1)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IFERROR(__xludf.DUMMYFUNCTION("IMPORTRANGE(""https://docs.google.com/spreadsheets/d/1IYY_tgx_IHuhSq3AJ5eI5OnqOPBNLWSHKh2a30DoXe8/edit?usp=sharing"",""นครศรีธรรมราช!J310"")"),1)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7">
        <f ca="1">IFERROR(__xludf.DUMMYFUNCTION("IMPORTRANGE(""https://docs.google.com/spreadsheets/d/1IYY_tgx_IHuhSq3AJ5eI5OnqOPBNLWSHKh2a30DoXe8/edit?usp=sharing"",""นครศรีธรรมราช!J311"")"),40)</f>
        <v>40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IFERROR(__xludf.DUMMYFUNCTION("IMPORTRANGE(""https://docs.google.com/spreadsheets/d/1IYY_tgx_IHuhSq3AJ5eI5OnqOPBNLWSHKh2a30DoXe8/edit?usp=sharing"",""นครศรีธรรมราช!J328"")"),0)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IFERROR(__xludf.DUMMYFUNCTION("IMPORTRANGE(""https://docs.google.com/spreadsheets/d/1IYY_tgx_IHuhSq3AJ5eI5OnqOPBNLWSHKh2a30DoXe8/edit?usp=sharing"",""นครศรีธรรมราช!J329"")"),0)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IFERROR(__xludf.DUMMYFUNCTION("IMPORTRANGE(""https://docs.google.com/spreadsheets/d/1IYY_tgx_IHuhSq3AJ5eI5OnqOPBNLWSHKh2a30DoXe8/edit?usp=sharing"",""นครศรีธรรมราช!M330"")"),80307)</f>
        <v>80307</v>
      </c>
      <c r="O435" s="418">
        <f t="shared" ref="O435:O439" ca="1" si="114">+IF(L435&gt;0,N435*100/L435,0)</f>
        <v>91.257954545454552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IFERROR(__xludf.DUMMYFUNCTION("IMPORTRANGE(""https://docs.google.com/spreadsheets/d/1IYY_tgx_IHuhSq3AJ5eI5OnqOPBNLWSHKh2a30DoXe8/edit?usp=sharing"",""นครศรีธรรมราช!L331"")"),0)</f>
        <v>0</v>
      </c>
      <c r="M436" s="168"/>
      <c r="N436" s="175">
        <f ca="1">IFERROR(__xludf.DUMMYFUNCTION("IMPORTRANGE(""https://docs.google.com/spreadsheets/d/1IYY_tgx_IHuhSq3AJ5eI5OnqOPBNLWSHKh2a30DoXe8/edit?usp=sharing"",""นครศรีธรรมราช!M331"")"),0)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69"/>
      <c r="N437" s="175">
        <f ca="1">IFERROR(__xludf.DUMMYFUNCTION("IMPORTRANGE(""https://docs.google.com/spreadsheets/d/1IYY_tgx_IHuhSq3AJ5eI5OnqOPBNLWSHKh2a30DoXe8/edit?usp=sharing"",""นครศรีธรรมราช!M332"")"),80307)</f>
        <v>80307</v>
      </c>
      <c r="O437" s="175">
        <f t="shared" ca="1" si="114"/>
        <v>91.257954545454552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IFERROR(__xludf.DUMMYFUNCTION("IMPORTRANGE(""https://docs.google.com/spreadsheets/d/1IYY_tgx_IHuhSq3AJ5eI5OnqOPBNLWSHKh2a30DoXe8/edit?usp=sharing"",""นครศรีธรรมราช!L333"")"),0)</f>
        <v>0</v>
      </c>
      <c r="M438" s="175"/>
      <c r="N438" s="175">
        <f ca="1">IFERROR(__xludf.DUMMYFUNCTION("IMPORTRANGE(""https://docs.google.com/spreadsheets/d/1IYY_tgx_IHuhSq3AJ5eI5OnqOPBNLWSHKh2a30DoXe8/edit?usp=sharing"",""นครศรีธรรมราช!M333"")"),0)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5"/>
      <c r="N439" s="175">
        <f ca="1">IFERROR(__xludf.DUMMYFUNCTION("IMPORTRANGE(""https://docs.google.com/spreadsheets/d/1IYY_tgx_IHuhSq3AJ5eI5OnqOPBNLWSHKh2a30DoXe8/edit?usp=sharing"",""นครศรีธรรมราช!M334"")"),80307)</f>
        <v>80307</v>
      </c>
      <c r="O439" s="175">
        <f t="shared" ca="1" si="114"/>
        <v>91.257954545454552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IFERROR(__xludf.DUMMYFUNCTION("IMPORTRANGE(""https://docs.google.com/spreadsheets/d/1IYY_tgx_IHuhSq3AJ5eI5OnqOPBNLWSHKh2a30DoXe8/edit?usp=sharing"",""นครศรีธรรมราช!M335"")"),52303)</f>
        <v>52303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IFERROR(__xludf.DUMMYFUNCTION("IMPORTRANGE(""https://docs.google.com/spreadsheets/d/1IYY_tgx_IHuhSq3AJ5eI5OnqOPBNLWSHKh2a30DoXe8/edit?usp=sharing"",""นครศรีธรรมราช!M338"")"),28004)</f>
        <v>28004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IFERROR(__xludf.DUMMYFUNCTION("IMPORTRANGE(""https://docs.google.com/spreadsheets/d/1IYY_tgx_IHuhSq3AJ5eI5OnqOPBNLWSHKh2a30DoXe8/edit?usp=sharing"",""นครศรีธรรมราช!J340"")"),0)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IFERROR(__xludf.DUMMYFUNCTION("IMPORTRANGE(""https://docs.google.com/spreadsheets/d/1IYY_tgx_IHuhSq3AJ5eI5OnqOPBNLWSHKh2a30DoXe8/edit?usp=sharing"",""นครศรีธรรมราช!J342"")"),1)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IFERROR(__xludf.DUMMYFUNCTION("IMPORTRANGE(""https://docs.google.com/spreadsheets/d/1IYY_tgx_IHuhSq3AJ5eI5OnqOPBNLWSHKh2a30DoXe8/edit?usp=sharing"",""นครศรีธรรมราช!J343"")"),1)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7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5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4">
        <f ca="1">IFERROR(__xludf.DUMMYFUNCTION("IMPORTRANGE(""https://docs.google.com/spreadsheets/d/1IYY_tgx_IHuhSq3AJ5eI5OnqOPBNLWSHKh2a30DoXe8/edit?usp=sharing"",""นครศรีธรรมราช!J346"")"),0)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IFERROR(__xludf.DUMMYFUNCTION("IMPORTRANGE(""https://docs.google.com/spreadsheets/d/1IYY_tgx_IHuhSq3AJ5eI5OnqOPBNLWSHKh2a30DoXe8/edit?usp=sharing"",""นครศรีธรรมราช!I347"")"),0)</f>
        <v>0</v>
      </c>
      <c r="J452" s="194">
        <f ca="1">IFERROR(__xludf.DUMMYFUNCTION("IMPORTRANGE(""https://docs.google.com/spreadsheets/d/1IYY_tgx_IHuhSq3AJ5eI5OnqOPBNLWSHKh2a30DoXe8/edit?usp=sharing"",""นครศรีธรรมราช!J347"")"),0)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IFERROR(__xludf.DUMMYFUNCTION("IMPORTRANGE(""https://docs.google.com/spreadsheets/d/1IYY_tgx_IHuhSq3AJ5eI5OnqOPBNLWSHKh2a30DoXe8/edit?usp=sharing"",""นครศรีธรรมราช!J348"")"),0)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IFERROR(__xludf.DUMMYFUNCTION("IMPORTRANGE(""https://docs.google.com/spreadsheets/d/1IYY_tgx_IHuhSq3AJ5eI5OnqOPBNLWSHKh2a30DoXe8/edit?usp=sharing"",""นครศรีธรรมราช!J349"")"),0)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IFERROR(__xludf.DUMMYFUNCTION("IMPORTRANGE(""https://docs.google.com/spreadsheets/d/1IYY_tgx_IHuhSq3AJ5eI5OnqOPBNLWSHKh2a30DoXe8/edit?usp=sharing"",""นครศรีธรรมราช!J350"")"),49838)</f>
        <v>49838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IFERROR(__xludf.DUMMYFUNCTION("IMPORTRANGE(""https://docs.google.com/spreadsheets/d/1IYY_tgx_IHuhSq3AJ5eI5OnqOPBNLWSHKh2a30DoXe8/edit?usp=sharing"",""นครศรีธรรมราช!M350"")"),265095)</f>
        <v>265095</v>
      </c>
      <c r="O455" s="379">
        <f t="shared" ref="O455:O459" ca="1" si="116">+IF(L455&gt;0,N455*100/L455,0)</f>
        <v>58.622878170029459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IFERROR(__xludf.DUMMYFUNCTION("IMPORTRANGE(""https://docs.google.com/spreadsheets/d/1IYY_tgx_IHuhSq3AJ5eI5OnqOPBNLWSHKh2a30DoXe8/edit?usp=sharing"",""นครศรีธรรมราช!L351"")"),0)</f>
        <v>0</v>
      </c>
      <c r="M456" s="168"/>
      <c r="N456" s="175">
        <f ca="1">IFERROR(__xludf.DUMMYFUNCTION("IMPORTRANGE(""https://docs.google.com/spreadsheets/d/1IYY_tgx_IHuhSq3AJ5eI5OnqOPBNLWSHKh2a30DoXe8/edit?usp=sharing"",""นครศรีธรรมราช!M351"")"),0)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69"/>
      <c r="N457" s="175">
        <f ca="1">IFERROR(__xludf.DUMMYFUNCTION("IMPORTRANGE(""https://docs.google.com/spreadsheets/d/1IYY_tgx_IHuhSq3AJ5eI5OnqOPBNLWSHKh2a30DoXe8/edit?usp=sharing"",""นครศรีธรรมราช!M352"")"),265095)</f>
        <v>265095</v>
      </c>
      <c r="O457" s="175">
        <f t="shared" ca="1" si="116"/>
        <v>58.622878170029459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IFERROR(__xludf.DUMMYFUNCTION("IMPORTRANGE(""https://docs.google.com/spreadsheets/d/1IYY_tgx_IHuhSq3AJ5eI5OnqOPBNLWSHKh2a30DoXe8/edit?usp=sharing"",""นครศรีธรรมราช!L353"")"),0)</f>
        <v>0</v>
      </c>
      <c r="M458" s="175"/>
      <c r="N458" s="175">
        <f ca="1">IFERROR(__xludf.DUMMYFUNCTION("IMPORTRANGE(""https://docs.google.com/spreadsheets/d/1IYY_tgx_IHuhSq3AJ5eI5OnqOPBNLWSHKh2a30DoXe8/edit?usp=sharing"",""นครศรีธรรมราช!M353"")"),0)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5"/>
      <c r="N459" s="175">
        <f ca="1">IFERROR(__xludf.DUMMYFUNCTION("IMPORTRANGE(""https://docs.google.com/spreadsheets/d/1IYY_tgx_IHuhSq3AJ5eI5OnqOPBNLWSHKh2a30DoXe8/edit?usp=sharing"",""นครศรีธรรมราช!M354"")"),265095)</f>
        <v>265095</v>
      </c>
      <c r="O459" s="175">
        <f t="shared" ca="1" si="116"/>
        <v>58.622878170029459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IFERROR(__xludf.DUMMYFUNCTION("IMPORTRANGE(""https://docs.google.com/spreadsheets/d/1IYY_tgx_IHuhSq3AJ5eI5OnqOPBNLWSHKh2a30DoXe8/edit?usp=sharing"",""นครศรีธรรมราช!M355"")"),0)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IFERROR(__xludf.DUMMYFUNCTION("IMPORTRANGE(""https://docs.google.com/spreadsheets/d/1IYY_tgx_IHuhSq3AJ5eI5OnqOPBNLWSHKh2a30DoXe8/edit?usp=sharing"",""นครศรีธรรมราช!M356"")"),0)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IFERROR(__xludf.DUMMYFUNCTION("IMPORTRANGE(""https://docs.google.com/spreadsheets/d/1IYY_tgx_IHuhSq3AJ5eI5OnqOPBNLWSHKh2a30DoXe8/edit?usp=sharing"",""นครศรีธรรมราช!M357"")"),90117.2)</f>
        <v>90117.2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IFERROR(__xludf.DUMMYFUNCTION("IMPORTRANGE(""https://docs.google.com/spreadsheets/d/1IYY_tgx_IHuhSq3AJ5eI5OnqOPBNLWSHKh2a30DoXe8/edit?usp=sharing"",""นครศรีธรรมราช!M358"")"),174977.8)</f>
        <v>174977.8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3">
        <f ca="1">IFERROR(__xludf.DUMMYFUNCTION("IMPORTRANGE(""https://docs.google.com/spreadsheets/d/1IYY_tgx_IHuhSq3AJ5eI5OnqOPBNLWSHKh2a30DoXe8/edit?usp=sharing"",""นครศรีธรรมราช!J359"")"),49838)</f>
        <v>49838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IFERROR(__xludf.DUMMYFUNCTION("IMPORTRANGE(""https://docs.google.com/spreadsheets/d/1IYY_tgx_IHuhSq3AJ5eI5OnqOPBNLWSHKh2a30DoXe8/edit?usp=sharing"",""นครศรีธรรมราช!I362"")"),0)</f>
        <v>0</v>
      </c>
      <c r="J467" s="195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IFERROR(__xludf.DUMMYFUNCTION("IMPORTRANGE(""https://docs.google.com/spreadsheets/d/1IYY_tgx_IHuhSq3AJ5eI5OnqOPBNLWSHKh2a30DoXe8/edit?usp=sharing"",""นครศรีธรรมราช!I363"")"),0)</f>
        <v>0</v>
      </c>
      <c r="J468" s="195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IFERROR(__xludf.DUMMYFUNCTION("IMPORTRANGE(""https://docs.google.com/spreadsheets/d/1IYY_tgx_IHuhSq3AJ5eI5OnqOPBNLWSHKh2a30DoXe8/edit?usp=sharing"",""นครศรีธรรมราช!I364"")"),0)</f>
        <v>0</v>
      </c>
      <c r="J469" s="195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IFERROR(__xludf.DUMMYFUNCTION("IMPORTRANGE(""https://docs.google.com/spreadsheets/d/1IYY_tgx_IHuhSq3AJ5eI5OnqOPBNLWSHKh2a30DoXe8/edit?usp=sharing"",""นครศรีธรรมราช!I365"")"),0)</f>
        <v>0</v>
      </c>
      <c r="J470" s="195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IFERROR(__xludf.DUMMYFUNCTION("IMPORTRANGE(""https://docs.google.com/spreadsheets/d/1IYY_tgx_IHuhSq3AJ5eI5OnqOPBNLWSHKh2a30DoXe8/edit?usp=sharing"",""นครศรีธรรมราช!I366"")"),0)</f>
        <v>0</v>
      </c>
      <c r="J471" s="195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IFERROR(__xludf.DUMMYFUNCTION("IMPORTRANGE(""https://docs.google.com/spreadsheets/d/1IYY_tgx_IHuhSq3AJ5eI5OnqOPBNLWSHKh2a30DoXe8/edit?usp=sharing"",""นครศรีธรรมราช!I367"")"),0)</f>
        <v>0</v>
      </c>
      <c r="J472" s="195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IFERROR(__xludf.DUMMYFUNCTION("IMPORTRANGE(""https://docs.google.com/spreadsheets/d/1IYY_tgx_IHuhSq3AJ5eI5OnqOPBNLWSHKh2a30DoXe8/edit?usp=sharing"",""นครศรีธรรมราช!I370"")"),0)</f>
        <v>0</v>
      </c>
      <c r="J475" s="195">
        <f ca="1">IFERROR(__xludf.DUMMYFUNCTION("IMPORTRANGE(""https://docs.google.com/spreadsheets/d/1IYY_tgx_IHuhSq3AJ5eI5OnqOPBNLWSHKh2a30DoXe8/edit?usp=sharing"",""นครศรีธรรมราช!J370"")"),48245)</f>
        <v>48245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IFERROR(__xludf.DUMMYFUNCTION("IMPORTRANGE(""https://docs.google.com/spreadsheets/d/1IYY_tgx_IHuhSq3AJ5eI5OnqOPBNLWSHKh2a30DoXe8/edit?usp=sharing"",""นครศรีธรรมราช!I371"")"),0)</f>
        <v>0</v>
      </c>
      <c r="J476" s="195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IFERROR(__xludf.DUMMYFUNCTION("IMPORTRANGE(""https://docs.google.com/spreadsheets/d/1IYY_tgx_IHuhSq3AJ5eI5OnqOPBNLWSHKh2a30DoXe8/edit?usp=sharing"",""นครศรีธรรมราช!I372"")"),0)</f>
        <v>0</v>
      </c>
      <c r="J477" s="195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IFERROR(__xludf.DUMMYFUNCTION("IMPORTRANGE(""https://docs.google.com/spreadsheets/d/1IYY_tgx_IHuhSq3AJ5eI5OnqOPBNLWSHKh2a30DoXe8/edit?usp=sharing"",""นครศรีธรรมราช!I373"")"),0)</f>
        <v>0</v>
      </c>
      <c r="J478" s="195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IFERROR(__xludf.DUMMYFUNCTION("IMPORTRANGE(""https://docs.google.com/spreadsheets/d/1IYY_tgx_IHuhSq3AJ5eI5OnqOPBNLWSHKh2a30DoXe8/edit?usp=sharing"",""นครศรีธรรมราช!I374"")"),0)</f>
        <v>0</v>
      </c>
      <c r="J479" s="195">
        <f ca="1">IFERROR(__xludf.DUMMYFUNCTION("IMPORTRANGE(""https://docs.google.com/spreadsheets/d/1IYY_tgx_IHuhSq3AJ5eI5OnqOPBNLWSHKh2a30DoXe8/edit?usp=sharing"",""นครศรีธรรมราช!J374"")"),641)</f>
        <v>641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IFERROR(__xludf.DUMMYFUNCTION("IMPORTRANGE(""https://docs.google.com/spreadsheets/d/1IYY_tgx_IHuhSq3AJ5eI5OnqOPBNLWSHKh2a30DoXe8/edit?usp=sharing"",""นครศรีธรรมราช!I375"")"),0)</f>
        <v>0</v>
      </c>
      <c r="J480" s="195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IFERROR(__xludf.DUMMYFUNCTION("IMPORTRANGE(""https://docs.google.com/spreadsheets/d/1IYY_tgx_IHuhSq3AJ5eI5OnqOPBNLWSHKh2a30DoXe8/edit?usp=sharing"",""นครศรีธรรมราช!J376"")"),49838)</f>
        <v>49838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IFERROR(__xludf.DUMMYFUNCTION("IMPORTRANGE(""https://docs.google.com/spreadsheets/d/1IYY_tgx_IHuhSq3AJ5eI5OnqOPBNLWSHKh2a30DoXe8/edit?usp=sharing"",""นครศรีธรรมราช!J377"")"),6576)</f>
        <v>6576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IFERROR(__xludf.DUMMYFUNCTION("IMPORTRANGE(""https://docs.google.com/spreadsheets/d/1IYY_tgx_IHuhSq3AJ5eI5OnqOPBNLWSHKh2a30DoXe8/edit?usp=sharing"",""นครศรีธรรมราช!I378"")"),0)</f>
        <v>0</v>
      </c>
      <c r="J483" s="195">
        <f ca="1">IFERROR(__xludf.DUMMYFUNCTION("IMPORTRANGE(""https://docs.google.com/spreadsheets/d/1IYY_tgx_IHuhSq3AJ5eI5OnqOPBNLWSHKh2a30DoXe8/edit?usp=sharing"",""นครศรีธรรมราช!J378"")"),49076)</f>
        <v>49076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IFERROR(__xludf.DUMMYFUNCTION("IMPORTRANGE(""https://docs.google.com/spreadsheets/d/1IYY_tgx_IHuhSq3AJ5eI5OnqOPBNLWSHKh2a30DoXe8/edit?usp=sharing"",""นครศรีธรรมราช!I379"")"),0)</f>
        <v>0</v>
      </c>
      <c r="J484" s="195">
        <f ca="1">IFERROR(__xludf.DUMMYFUNCTION("IMPORTRANGE(""https://docs.google.com/spreadsheets/d/1IYY_tgx_IHuhSq3AJ5eI5OnqOPBNLWSHKh2a30DoXe8/edit?usp=sharing"",""นครศรีธรรมราช!J379"")"),6480)</f>
        <v>6480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IFERROR(__xludf.DUMMYFUNCTION("IMPORTRANGE(""https://docs.google.com/spreadsheets/d/1IYY_tgx_IHuhSq3AJ5eI5OnqOPBNLWSHKh2a30DoXe8/edit?usp=sharing"",""นครศรีธรรมราช!I380"")"),0)</f>
        <v>0</v>
      </c>
      <c r="J485" s="195">
        <f ca="1">IFERROR(__xludf.DUMMYFUNCTION("IMPORTRANGE(""https://docs.google.com/spreadsheets/d/1IYY_tgx_IHuhSq3AJ5eI5OnqOPBNLWSHKh2a30DoXe8/edit?usp=sharing"",""นครศรีธรรมราช!J380"")"),7)</f>
        <v>7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IFERROR(__xludf.DUMMYFUNCTION("IMPORTRANGE(""https://docs.google.com/spreadsheets/d/1IYY_tgx_IHuhSq3AJ5eI5OnqOPBNLWSHKh2a30DoXe8/edit?usp=sharing"",""นครศรีธรรมราช!I381"")"),0)</f>
        <v>0</v>
      </c>
      <c r="J486" s="195">
        <f ca="1">IFERROR(__xludf.DUMMYFUNCTION("IMPORTRANGE(""https://docs.google.com/spreadsheets/d/1IYY_tgx_IHuhSq3AJ5eI5OnqOPBNLWSHKh2a30DoXe8/edit?usp=sharing"",""นครศรีธรรมราช!J381"")"),1)</f>
        <v>1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IFERROR(__xludf.DUMMYFUNCTION("IMPORTRANGE(""https://docs.google.com/spreadsheets/d/1IYY_tgx_IHuhSq3AJ5eI5OnqOPBNLWSHKh2a30DoXe8/edit?usp=sharing"",""นครศรีธรรมราช!J382"")"),564)</f>
        <v>564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IFERROR(__xludf.DUMMYFUNCTION("IMPORTRANGE(""https://docs.google.com/spreadsheets/d/1IYY_tgx_IHuhSq3AJ5eI5OnqOPBNLWSHKh2a30DoXe8/edit?usp=sharing"",""นครศรีธรรมราช!J383"")"),60)</f>
        <v>60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IFERROR(__xludf.DUMMYFUNCTION("IMPORTRANGE(""https://docs.google.com/spreadsheets/d/1IYY_tgx_IHuhSq3AJ5eI5OnqOPBNLWSHKh2a30DoXe8/edit?usp=sharing"",""นครศรีธรรมราช!I384"")"),0)</f>
        <v>0</v>
      </c>
      <c r="J489" s="195">
        <f ca="1">IFERROR(__xludf.DUMMYFUNCTION("IMPORTRANGE(""https://docs.google.com/spreadsheets/d/1IYY_tgx_IHuhSq3AJ5eI5OnqOPBNLWSHKh2a30DoXe8/edit?usp=sharing"",""นครศรีธรรมราช!J384"")"),564)</f>
        <v>564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IFERROR(__xludf.DUMMYFUNCTION("IMPORTRANGE(""https://docs.google.com/spreadsheets/d/1IYY_tgx_IHuhSq3AJ5eI5OnqOPBNLWSHKh2a30DoXe8/edit?usp=sharing"",""นครศรีธรรมราช!I385"")"),0)</f>
        <v>0</v>
      </c>
      <c r="J490" s="195">
        <f ca="1">IFERROR(__xludf.DUMMYFUNCTION("IMPORTRANGE(""https://docs.google.com/spreadsheets/d/1IYY_tgx_IHuhSq3AJ5eI5OnqOPBNLWSHKh2a30DoXe8/edit?usp=sharing"",""นครศรีธรรมราช!J385"")"),60)</f>
        <v>60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IFERROR(__xludf.DUMMYFUNCTION("IMPORTRANGE(""https://docs.google.com/spreadsheets/d/1IYY_tgx_IHuhSq3AJ5eI5OnqOPBNLWSHKh2a30DoXe8/edit?usp=sharing"",""นครศรีธรรมราช!I386"")"),0)</f>
        <v>0</v>
      </c>
      <c r="J491" s="195">
        <f ca="1">IFERROR(__xludf.DUMMYFUNCTION("IMPORTRANGE(""https://docs.google.com/spreadsheets/d/1IYY_tgx_IHuhSq3AJ5eI5OnqOPBNLWSHKh2a30DoXe8/edit?usp=sharing"",""นครศรีธรรมราช!J386"")"),0)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IFERROR(__xludf.DUMMYFUNCTION("IMPORTRANGE(""https://docs.google.com/spreadsheets/d/1IYY_tgx_IHuhSq3AJ5eI5OnqOPBNLWSHKh2a30DoXe8/edit?usp=sharing"",""นครศรีธรรมราช!I387"")"),0)</f>
        <v>0</v>
      </c>
      <c r="J492" s="195">
        <f ca="1">IFERROR(__xludf.DUMMYFUNCTION("IMPORTRANGE(""https://docs.google.com/spreadsheets/d/1IYY_tgx_IHuhSq3AJ5eI5OnqOPBNLWSHKh2a30DoXe8/edit?usp=sharing"",""นครศรีธรรมราช!J387"")"),0)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IFERROR(__xludf.DUMMYFUNCTION("IMPORTRANGE(""https://docs.google.com/spreadsheets/d/1IYY_tgx_IHuhSq3AJ5eI5OnqOPBNLWSHKh2a30DoXe8/edit?usp=sharing"",""นครศรีธรรมราช!I388"")"),0)</f>
        <v>0</v>
      </c>
      <c r="J493" s="195">
        <f ca="1">IFERROR(__xludf.DUMMYFUNCTION("IMPORTRANGE(""https://docs.google.com/spreadsheets/d/1IYY_tgx_IHuhSq3AJ5eI5OnqOPBNLWSHKh2a30DoXe8/edit?usp=sharing"",""นครศรีธรรมราช!J388"")"),191)</f>
        <v>191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IFERROR(__xludf.DUMMYFUNCTION("IMPORTRANGE(""https://docs.google.com/spreadsheets/d/1IYY_tgx_IHuhSq3AJ5eI5OnqOPBNLWSHKh2a30DoXe8/edit?usp=sharing"",""นครศรีธรรมราช!J389"")"),35)</f>
        <v>35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IFERROR(__xludf.DUMMYFUNCTION("IMPORTRANGE(""https://docs.google.com/spreadsheets/d/1IYY_tgx_IHuhSq3AJ5eI5OnqOPBNLWSHKh2a30DoXe8/edit?usp=sharing"",""นครศรีธรรมราช!I395"")"),0)</f>
        <v>0</v>
      </c>
      <c r="J500" s="166">
        <f ca="1">IFERROR(__xludf.DUMMYFUNCTION("IMPORTRANGE(""https://docs.google.com/spreadsheets/d/1IYY_tgx_IHuhSq3AJ5eI5OnqOPBNLWSHKh2a30DoXe8/edit?usp=sharing"",""นครศรีธรรมราช!J395"")"),0)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IFERROR(__xludf.DUMMYFUNCTION("IMPORTRANGE(""https://docs.google.com/spreadsheets/d/1IYY_tgx_IHuhSq3AJ5eI5OnqOPBNLWSHKh2a30DoXe8/edit?usp=sharing"",""นครศรีธรรมราช!I396"")"),0)</f>
        <v>0</v>
      </c>
      <c r="J501" s="166">
        <f ca="1">IFERROR(__xludf.DUMMYFUNCTION("IMPORTRANGE(""https://docs.google.com/spreadsheets/d/1IYY_tgx_IHuhSq3AJ5eI5OnqOPBNLWSHKh2a30DoXe8/edit?usp=sharing"",""นครศรีธรรมราช!J396"")"),0)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IFERROR(__xludf.DUMMYFUNCTION("IMPORTRANGE(""https://docs.google.com/spreadsheets/d/1IYY_tgx_IHuhSq3AJ5eI5OnqOPBNLWSHKh2a30DoXe8/edit?usp=sharing"",""นครศรีธรรมราช!I397"")"),0)</f>
        <v>0</v>
      </c>
      <c r="J502" s="195">
        <f ca="1">IFERROR(__xludf.DUMMYFUNCTION("IMPORTRANGE(""https://docs.google.com/spreadsheets/d/1IYY_tgx_IHuhSq3AJ5eI5OnqOPBNLWSHKh2a30DoXe8/edit?usp=sharing"",""นครศรีธรรมราช!J397"")"),0)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IFERROR(__xludf.DUMMYFUNCTION("IMPORTRANGE(""https://docs.google.com/spreadsheets/d/1IYY_tgx_IHuhSq3AJ5eI5OnqOPBNLWSHKh2a30DoXe8/edit?usp=sharing"",""นครศรีธรรมราช!I398"")"),0)</f>
        <v>0</v>
      </c>
      <c r="J503" s="204">
        <f ca="1">IFERROR(__xludf.DUMMYFUNCTION("IMPORTRANGE(""https://docs.google.com/spreadsheets/d/1IYY_tgx_IHuhSq3AJ5eI5OnqOPBNLWSHKh2a30DoXe8/edit?usp=sharing"",""นครศรีธรรมราช!J398"")"),0)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IFERROR(__xludf.DUMMYFUNCTION("IMPORTRANGE(""https://docs.google.com/spreadsheets/d/1IYY_tgx_IHuhSq3AJ5eI5OnqOPBNLWSHKh2a30DoXe8/edit?usp=sharing"",""นครศรีธรรมราช!I399"")"),0)</f>
        <v>0</v>
      </c>
      <c r="J504" s="195">
        <f ca="1">IFERROR(__xludf.DUMMYFUNCTION("IMPORTRANGE(""https://docs.google.com/spreadsheets/d/1IYY_tgx_IHuhSq3AJ5eI5OnqOPBNLWSHKh2a30DoXe8/edit?usp=sharing"",""นครศรีธรรมราช!J399"")"),0)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IFERROR(__xludf.DUMMYFUNCTION("IMPORTRANGE(""https://docs.google.com/spreadsheets/d/1IYY_tgx_IHuhSq3AJ5eI5OnqOPBNLWSHKh2a30DoXe8/edit?usp=sharing"",""นครศรีธรรมราช!I400"")"),0)</f>
        <v>0</v>
      </c>
      <c r="J505" s="204">
        <f ca="1">IFERROR(__xludf.DUMMYFUNCTION("IMPORTRANGE(""https://docs.google.com/spreadsheets/d/1IYY_tgx_IHuhSq3AJ5eI5OnqOPBNLWSHKh2a30DoXe8/edit?usp=sharing"",""นครศรีธรรมราช!J400"")"),0)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IFERROR(__xludf.DUMMYFUNCTION("IMPORTRANGE(""https://docs.google.com/spreadsheets/d/1IYY_tgx_IHuhSq3AJ5eI5OnqOPBNLWSHKh2a30DoXe8/edit?usp=sharing"",""นครศรีธรรมราช!I401"")"),0)</f>
        <v>0</v>
      </c>
      <c r="J506" s="195">
        <f ca="1">IFERROR(__xludf.DUMMYFUNCTION("IMPORTRANGE(""https://docs.google.com/spreadsheets/d/1IYY_tgx_IHuhSq3AJ5eI5OnqOPBNLWSHKh2a30DoXe8/edit?usp=sharing"",""นครศรีธรรมราช!J401"")"),0)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IFERROR(__xludf.DUMMYFUNCTION("IMPORTRANGE(""https://docs.google.com/spreadsheets/d/1IYY_tgx_IHuhSq3AJ5eI5OnqOPBNLWSHKh2a30DoXe8/edit?usp=sharing"",""นครศรีธรรมราช!I402"")"),0)</f>
        <v>0</v>
      </c>
      <c r="J507" s="204">
        <f ca="1">IFERROR(__xludf.DUMMYFUNCTION("IMPORTRANGE(""https://docs.google.com/spreadsheets/d/1IYY_tgx_IHuhSq3AJ5eI5OnqOPBNLWSHKh2a30DoXe8/edit?usp=sharing"",""นครศรีธรรมราช!J402"")"),0)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IFERROR(__xludf.DUMMYFUNCTION("IMPORTRANGE(""https://docs.google.com/spreadsheets/d/1IYY_tgx_IHuhSq3AJ5eI5OnqOPBNLWSHKh2a30DoXe8/edit?usp=sharing"",""นครศรีธรรมราช!I403"")"),0)</f>
        <v>0</v>
      </c>
      <c r="J508" s="166">
        <f ca="1">IFERROR(__xludf.DUMMYFUNCTION("IMPORTRANGE(""https://docs.google.com/spreadsheets/d/1IYY_tgx_IHuhSq3AJ5eI5OnqOPBNLWSHKh2a30DoXe8/edit?usp=sharing"",""นครศรีธรรมราช!J403"")"),0)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IFERROR(__xludf.DUMMYFUNCTION("IMPORTRANGE(""https://docs.google.com/spreadsheets/d/1IYY_tgx_IHuhSq3AJ5eI5OnqOPBNLWSHKh2a30DoXe8/edit?usp=sharing"",""นครศรีธรรมราช!I404"")"),0)</f>
        <v>0</v>
      </c>
      <c r="J509" s="166">
        <f ca="1">IFERROR(__xludf.DUMMYFUNCTION("IMPORTRANGE(""https://docs.google.com/spreadsheets/d/1IYY_tgx_IHuhSq3AJ5eI5OnqOPBNLWSHKh2a30DoXe8/edit?usp=sharing"",""นครศรีธรรมราช!J404"")"),0)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IFERROR(__xludf.DUMMYFUNCTION("IMPORTRANGE(""https://docs.google.com/spreadsheets/d/1IYY_tgx_IHuhSq3AJ5eI5OnqOPBNLWSHKh2a30DoXe8/edit?usp=sharing"",""นครศรีธรรมราช!I405"")"),0)</f>
        <v>0</v>
      </c>
      <c r="J510" s="204">
        <f ca="1">IFERROR(__xludf.DUMMYFUNCTION("IMPORTRANGE(""https://docs.google.com/spreadsheets/d/1IYY_tgx_IHuhSq3AJ5eI5OnqOPBNLWSHKh2a30DoXe8/edit?usp=sharing"",""นครศรีธรรมราช!J405"")"),0)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IFERROR(__xludf.DUMMYFUNCTION("IMPORTRANGE(""https://docs.google.com/spreadsheets/d/1IYY_tgx_IHuhSq3AJ5eI5OnqOPBNLWSHKh2a30DoXe8/edit?usp=sharing"",""นครศรีธรรมราช!I406"")"),0)</f>
        <v>0</v>
      </c>
      <c r="J511" s="204">
        <f ca="1">IFERROR(__xludf.DUMMYFUNCTION("IMPORTRANGE(""https://docs.google.com/spreadsheets/d/1IYY_tgx_IHuhSq3AJ5eI5OnqOPBNLWSHKh2a30DoXe8/edit?usp=sharing"",""นครศรีธรรมราช!J406"")"),0)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IFERROR(__xludf.DUMMYFUNCTION("IMPORTRANGE(""https://docs.google.com/spreadsheets/d/1IYY_tgx_IHuhSq3AJ5eI5OnqOPBNLWSHKh2a30DoXe8/edit?usp=sharing"",""นครศรีธรรมราช!I407"")"),0)</f>
        <v>0</v>
      </c>
      <c r="J512" s="204">
        <f ca="1">IFERROR(__xludf.DUMMYFUNCTION("IMPORTRANGE(""https://docs.google.com/spreadsheets/d/1IYY_tgx_IHuhSq3AJ5eI5OnqOPBNLWSHKh2a30DoXe8/edit?usp=sharing"",""นครศรีธรรมราช!J407"")"),0)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IFERROR(__xludf.DUMMYFUNCTION("IMPORTRANGE(""https://docs.google.com/spreadsheets/d/1IYY_tgx_IHuhSq3AJ5eI5OnqOPBNLWSHKh2a30DoXe8/edit?usp=sharing"",""นครศรีธรรมราช!I408"")"),0)</f>
        <v>0</v>
      </c>
      <c r="J513" s="204">
        <f ca="1">IFERROR(__xludf.DUMMYFUNCTION("IMPORTRANGE(""https://docs.google.com/spreadsheets/d/1IYY_tgx_IHuhSq3AJ5eI5OnqOPBNLWSHKh2a30DoXe8/edit?usp=sharing"",""นครศรีธรรมราช!J408"")"),0)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IFERROR(__xludf.DUMMYFUNCTION("IMPORTRANGE(""https://docs.google.com/spreadsheets/d/1IYY_tgx_IHuhSq3AJ5eI5OnqOPBNLWSHKh2a30DoXe8/edit?usp=sharing"",""นครศรีธรรมราช!I409"")"),0)</f>
        <v>0</v>
      </c>
      <c r="J514" s="204">
        <f ca="1">IFERROR(__xludf.DUMMYFUNCTION("IMPORTRANGE(""https://docs.google.com/spreadsheets/d/1IYY_tgx_IHuhSq3AJ5eI5OnqOPBNLWSHKh2a30DoXe8/edit?usp=sharing"",""นครศรีธรรมราช!J409"")"),0)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IFERROR(__xludf.DUMMYFUNCTION("IMPORTRANGE(""https://docs.google.com/spreadsheets/d/1IYY_tgx_IHuhSq3AJ5eI5OnqOPBNLWSHKh2a30DoXe8/edit?usp=sharing"",""นครศรีธรรมราช!I410"")"),0)</f>
        <v>0</v>
      </c>
      <c r="J515" s="204">
        <f ca="1">IFERROR(__xludf.DUMMYFUNCTION("IMPORTRANGE(""https://docs.google.com/spreadsheets/d/1IYY_tgx_IHuhSq3AJ5eI5OnqOPBNLWSHKh2a30DoXe8/edit?usp=sharing"",""นครศรีธรรมราช!J410"")"),0)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IFERROR(__xludf.DUMMYFUNCTION("IMPORTRANGE(""https://docs.google.com/spreadsheets/d/1IYY_tgx_IHuhSq3AJ5eI5OnqOPBNLWSHKh2a30DoXe8/edit?usp=sharing"",""นครศรีธรรมราช!I411"")"),0)</f>
        <v>0</v>
      </c>
      <c r="J516" s="273">
        <f ca="1">IFERROR(__xludf.DUMMYFUNCTION("IMPORTRANGE(""https://docs.google.com/spreadsheets/d/1IYY_tgx_IHuhSq3AJ5eI5OnqOPBNLWSHKh2a30DoXe8/edit?usp=sharing"",""นครศรีธรรมราช!J411"")"),0)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IFERROR(__xludf.DUMMYFUNCTION("IMPORTRANGE(""https://docs.google.com/spreadsheets/d/1IYY_tgx_IHuhSq3AJ5eI5OnqOPBNLWSHKh2a30DoXe8/edit?usp=sharing"",""นครศรีธรรมราช!I414"")"),0)</f>
        <v>0</v>
      </c>
      <c r="J519" s="194">
        <f ca="1">IFERROR(__xludf.DUMMYFUNCTION("IMPORTRANGE(""https://docs.google.com/spreadsheets/d/1IYY_tgx_IHuhSq3AJ5eI5OnqOPBNLWSHKh2a30DoXe8/edit?usp=sharing"",""นครศรีธรรมราช!J414"")"),0)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IFERROR(__xludf.DUMMYFUNCTION("IMPORTRANGE(""https://docs.google.com/spreadsheets/d/1IYY_tgx_IHuhSq3AJ5eI5OnqOPBNLWSHKh2a30DoXe8/edit?usp=sharing"",""นครศรีธรรมราช!I415"")"),0)</f>
        <v>0</v>
      </c>
      <c r="J520" s="194">
        <f ca="1">IFERROR(__xludf.DUMMYFUNCTION("IMPORTRANGE(""https://docs.google.com/spreadsheets/d/1IYY_tgx_IHuhSq3AJ5eI5OnqOPBNLWSHKh2a30DoXe8/edit?usp=sharing"",""นครศรีธรรมราช!J415"")"),0)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IFERROR(__xludf.DUMMYFUNCTION("IMPORTRANGE(""https://docs.google.com/spreadsheets/d/1IYY_tgx_IHuhSq3AJ5eI5OnqOPBNLWSHKh2a30DoXe8/edit?usp=sharing"",""นครศรีธรรมราช!I416"")"),0)</f>
        <v>0</v>
      </c>
      <c r="J521" s="194">
        <f ca="1">IFERROR(__xludf.DUMMYFUNCTION("IMPORTRANGE(""https://docs.google.com/spreadsheets/d/1IYY_tgx_IHuhSq3AJ5eI5OnqOPBNLWSHKh2a30DoXe8/edit?usp=sharing"",""นครศรีธรรมราช!J416"")"),0)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IFERROR(__xludf.DUMMYFUNCTION("IMPORTRANGE(""https://docs.google.com/spreadsheets/d/1IYY_tgx_IHuhSq3AJ5eI5OnqOPBNLWSHKh2a30DoXe8/edit?usp=sharing"",""นครศรีธรรมราช!I417"")"),0)</f>
        <v>0</v>
      </c>
      <c r="J522" s="194">
        <f ca="1">IFERROR(__xludf.DUMMYFUNCTION("IMPORTRANGE(""https://docs.google.com/spreadsheets/d/1IYY_tgx_IHuhSq3AJ5eI5OnqOPBNLWSHKh2a30DoXe8/edit?usp=sharing"",""นครศรีธรรมราช!J417"")"),0)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IFERROR(__xludf.DUMMYFUNCTION("IMPORTRANGE(""https://docs.google.com/spreadsheets/d/1IYY_tgx_IHuhSq3AJ5eI5OnqOPBNLWSHKh2a30DoXe8/edit?usp=sharing"",""นครศรีธรรมราช!I418"")"),0)</f>
        <v>0</v>
      </c>
      <c r="J523" s="194">
        <f ca="1">IFERROR(__xludf.DUMMYFUNCTION("IMPORTRANGE(""https://docs.google.com/spreadsheets/d/1IYY_tgx_IHuhSq3AJ5eI5OnqOPBNLWSHKh2a30DoXe8/edit?usp=sharing"",""นครศรีธรรมราช!J418"")"),0)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IFERROR(__xludf.DUMMYFUNCTION("IMPORTRANGE(""https://docs.google.com/spreadsheets/d/1IYY_tgx_IHuhSq3AJ5eI5OnqOPBNLWSHKh2a30DoXe8/edit?usp=sharing"",""นครศรีธรรมราช!I419"")"),0)</f>
        <v>0</v>
      </c>
      <c r="J524" s="194">
        <f ca="1">IFERROR(__xludf.DUMMYFUNCTION("IMPORTRANGE(""https://docs.google.com/spreadsheets/d/1IYY_tgx_IHuhSq3AJ5eI5OnqOPBNLWSHKh2a30DoXe8/edit?usp=sharing"",""นครศรีธรรมราช!J419"")"),0)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IFERROR(__xludf.DUMMYFUNCTION("IMPORTRANGE(""https://docs.google.com/spreadsheets/d/1IYY_tgx_IHuhSq3AJ5eI5OnqOPBNLWSHKh2a30DoXe8/edit?usp=sharing"",""นครศรีธรรมราช!I422"")"),0)</f>
        <v>0</v>
      </c>
      <c r="J527" s="204">
        <f ca="1">IFERROR(__xludf.DUMMYFUNCTION("IMPORTRANGE(""https://docs.google.com/spreadsheets/d/1IYY_tgx_IHuhSq3AJ5eI5OnqOPBNLWSHKh2a30DoXe8/edit?usp=sharing"",""นครศรีธรรมราช!J422"")"),0)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IFERROR(__xludf.DUMMYFUNCTION("IMPORTRANGE(""https://docs.google.com/spreadsheets/d/1IYY_tgx_IHuhSq3AJ5eI5OnqOPBNLWSHKh2a30DoXe8/edit?usp=sharing"",""นครศรีธรรมราช!I423"")"),0)</f>
        <v>0</v>
      </c>
      <c r="J528" s="204">
        <f ca="1">IFERROR(__xludf.DUMMYFUNCTION("IMPORTRANGE(""https://docs.google.com/spreadsheets/d/1IYY_tgx_IHuhSq3AJ5eI5OnqOPBNLWSHKh2a30DoXe8/edit?usp=sharing"",""นครศรีธรรมราช!J423"")"),0)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IFERROR(__xludf.DUMMYFUNCTION("IMPORTRANGE(""https://docs.google.com/spreadsheets/d/1IYY_tgx_IHuhSq3AJ5eI5OnqOPBNLWSHKh2a30DoXe8/edit?usp=sharing"",""นครศรีธรรมราช!I424"")"),0)</f>
        <v>0</v>
      </c>
      <c r="J529" s="204">
        <f ca="1">IFERROR(__xludf.DUMMYFUNCTION("IMPORTRANGE(""https://docs.google.com/spreadsheets/d/1IYY_tgx_IHuhSq3AJ5eI5OnqOPBNLWSHKh2a30DoXe8/edit?usp=sharing"",""นครศรีธรรมราช!J424"")"),0)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IFERROR(__xludf.DUMMYFUNCTION("IMPORTRANGE(""https://docs.google.com/spreadsheets/d/1IYY_tgx_IHuhSq3AJ5eI5OnqOPBNLWSHKh2a30DoXe8/edit?usp=sharing"",""นครศรีธรรมราช!I425"")"),0)</f>
        <v>0</v>
      </c>
      <c r="J530" s="204">
        <f ca="1">IFERROR(__xludf.DUMMYFUNCTION("IMPORTRANGE(""https://docs.google.com/spreadsheets/d/1IYY_tgx_IHuhSq3AJ5eI5OnqOPBNLWSHKh2a30DoXe8/edit?usp=sharing"",""นครศรีธรรมราช!J425"")"),0)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IFERROR(__xludf.DUMMYFUNCTION("IMPORTRANGE(""https://docs.google.com/spreadsheets/d/1IYY_tgx_IHuhSq3AJ5eI5OnqOPBNLWSHKh2a30DoXe8/edit?usp=sharing"",""นครศรีธรรมราช!I426"")"),0)</f>
        <v>0</v>
      </c>
      <c r="J531" s="204">
        <f ca="1">IFERROR(__xludf.DUMMYFUNCTION("IMPORTRANGE(""https://docs.google.com/spreadsheets/d/1IYY_tgx_IHuhSq3AJ5eI5OnqOPBNLWSHKh2a30DoXe8/edit?usp=sharing"",""นครศรีธรรมราช!J426"")"),0)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IFERROR(__xludf.DUMMYFUNCTION("IMPORTRANGE(""https://docs.google.com/spreadsheets/d/1IYY_tgx_IHuhSq3AJ5eI5OnqOPBNLWSHKh2a30DoXe8/edit?usp=sharing"",""นครศรีธรรมราช!M428"")"),37740)</f>
        <v>37740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IFERROR(__xludf.DUMMYFUNCTION("IMPORTRANGE(""https://docs.google.com/spreadsheets/d/1IYY_tgx_IHuhSq3AJ5eI5OnqOPBNLWSHKh2a30DoXe8/edit?usp=sharing"",""นครศรีธรรมราช!L429"")"),0)</f>
        <v>0</v>
      </c>
      <c r="M534" s="168"/>
      <c r="N534" s="175">
        <f ca="1">IFERROR(__xludf.DUMMYFUNCTION("IMPORTRANGE(""https://docs.google.com/spreadsheets/d/1IYY_tgx_IHuhSq3AJ5eI5OnqOPBNLWSHKh2a30DoXe8/edit?usp=sharing"",""นครศรีธรรมราช!M429"")"),0)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5">
        <f ca="1">IFERROR(__xludf.DUMMYFUNCTION("IMPORTRANGE(""https://docs.google.com/spreadsheets/d/1IYY_tgx_IHuhSq3AJ5eI5OnqOPBNLWSHKh2a30DoXe8/edit?usp=sharing"",""นครศรีธรรมราช!M430"")"),37740)</f>
        <v>37740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IFERROR(__xludf.DUMMYFUNCTION("IMPORTRANGE(""https://docs.google.com/spreadsheets/d/1IYY_tgx_IHuhSq3AJ5eI5OnqOPBNLWSHKh2a30DoXe8/edit?usp=sharing"",""นครศรีธรรมราช!L431"")"),0)</f>
        <v>0</v>
      </c>
      <c r="M536" s="175"/>
      <c r="N536" s="175">
        <f ca="1">IFERROR(__xludf.DUMMYFUNCTION("IMPORTRANGE(""https://docs.google.com/spreadsheets/d/1IYY_tgx_IHuhSq3AJ5eI5OnqOPBNLWSHKh2a30DoXe8/edit?usp=sharing"",""นครศรีธรรมราช!M431"")"),0)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5"/>
      <c r="N537" s="175">
        <f ca="1">IFERROR(__xludf.DUMMYFUNCTION("IMPORTRANGE(""https://docs.google.com/spreadsheets/d/1IYY_tgx_IHuhSq3AJ5eI5OnqOPBNLWSHKh2a30DoXe8/edit?usp=sharing"",""นครศรีธรรมราช!M432"")"),37740)</f>
        <v>37740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IFERROR(__xludf.DUMMYFUNCTION("IMPORTRANGE(""https://docs.google.com/spreadsheets/d/1IYY_tgx_IHuhSq3AJ5eI5OnqOPBNLWSHKh2a30DoXe8/edit?usp=sharing"",""นครศรีธรรมราช!M436"")"),15840)</f>
        <v>15840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IFERROR(__xludf.DUMMYFUNCTION("IMPORTRANGE(""https://docs.google.com/spreadsheets/d/1IYY_tgx_IHuhSq3AJ5eI5OnqOPBNLWSHKh2a30DoXe8/edit?usp=sharing"",""นครศรีธรรมราช!J438"")"),0)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IFERROR(__xludf.DUMMYFUNCTION("IMPORTRANGE(""https://docs.google.com/spreadsheets/d/1IYY_tgx_IHuhSq3AJ5eI5OnqOPBNLWSHKh2a30DoXe8/edit?usp=sharing"",""นครศรีธรรมราช!J439"")"),1)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IFERROR(__xludf.DUMMYFUNCTION("IMPORTRANGE(""https://docs.google.com/spreadsheets/d/1IYY_tgx_IHuhSq3AJ5eI5OnqOPBNLWSHKh2a30DoXe8/edit?usp=sharing"",""นครศรีธรรมราช!J440"")"),1)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IFERROR(__xludf.DUMMYFUNCTION("IMPORTRANGE(""https://docs.google.com/spreadsheets/d/1IYY_tgx_IHuhSq3AJ5eI5OnqOPBNLWSHKh2a30DoXe8/edit?usp=sharing"",""นครศรีธรรมราช!J441"")"),1)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5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IFERROR(__xludf.DUMMYFUNCTION("IMPORTRANGE(""https://docs.google.com/spreadsheets/d/1IYY_tgx_IHuhSq3AJ5eI5OnqOPBNLWSHKh2a30DoXe8/edit?usp=sharing"",""นครศรีธรรมราช!J166"")"),0)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IFERROR(__xludf.DUMMYFUNCTION("IMPORTRANGE(""https://docs.google.com/spreadsheets/d/1IYY_tgx_IHuhSq3AJ5eI5OnqOPBNLWSHKh2a30DoXe8/edit?usp=sharing"",""นครศรีธรรมราช!J444"")"),0)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IFERROR(__xludf.DUMMYFUNCTION("IMPORTRANGE(""https://docs.google.com/spreadsheets/d/1IYY_tgx_IHuhSq3AJ5eI5OnqOPBNLWSHKh2a30DoXe8/edit?usp=sharing"",""นครศรีธรรมราช!L447"")"),0)</f>
        <v>0</v>
      </c>
      <c r="M552" s="168"/>
      <c r="N552" s="175">
        <f ca="1">IFERROR(__xludf.DUMMYFUNCTION("IMPORTRANGE(""https://docs.google.com/spreadsheets/d/1IYY_tgx_IHuhSq3AJ5eI5OnqOPBNLWSHKh2a30DoXe8/edit?usp=sharing"",""นครศรีธรรมราช!M447"")"),0)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5">
        <f ca="1">IFERROR(__xludf.DUMMYFUNCTION("IMPORTRANGE(""https://docs.google.com/spreadsheets/d/1IYY_tgx_IHuhSq3AJ5eI5OnqOPBNLWSHKh2a30DoXe8/edit?usp=sharing"",""นครศรีธรรมราช!M448"")"),0)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IFERROR(__xludf.DUMMYFUNCTION("IMPORTRANGE(""https://docs.google.com/spreadsheets/d/1IYY_tgx_IHuhSq3AJ5eI5OnqOPBNLWSHKh2a30DoXe8/edit?usp=sharing"",""นครศรีธรรมราช!L449"")"),0)</f>
        <v>0</v>
      </c>
      <c r="M554" s="175"/>
      <c r="N554" s="175">
        <f ca="1">IFERROR(__xludf.DUMMYFUNCTION("IMPORTRANGE(""https://docs.google.com/spreadsheets/d/1IYY_tgx_IHuhSq3AJ5eI5OnqOPBNLWSHKh2a30DoXe8/edit?usp=sharing"",""นครศรีธรรมราช!M449"")"),0)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IFERROR(__xludf.DUMMYFUNCTION("IMPORTRANGE(""https://docs.google.com/spreadsheets/d/1IYY_tgx_IHuhSq3AJ5eI5OnqOPBNLWSHKh2a30DoXe8/edit?usp=sharing"",""นครศรีธรรมราช!L450"")"),0)</f>
        <v>0</v>
      </c>
      <c r="M555" s="175"/>
      <c r="N555" s="175">
        <f ca="1">IFERROR(__xludf.DUMMYFUNCTION("IMPORTRANGE(""https://docs.google.com/spreadsheets/d/1IYY_tgx_IHuhSq3AJ5eI5OnqOPBNLWSHKh2a30DoXe8/edit?usp=sharing"",""นครศรีธรรมราช!M450"")"),0)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IFERROR(__xludf.DUMMYFUNCTION("IMPORTRANGE(""https://docs.google.com/spreadsheets/d/1IYY_tgx_IHuhSq3AJ5eI5OnqOPBNLWSHKh2a30DoXe8/edit?usp=sharing"",""นครศรีธรรมราช!M451"")"),0)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IFERROR(__xludf.DUMMYFUNCTION("IMPORTRANGE(""https://docs.google.com/spreadsheets/d/1IYY_tgx_IHuhSq3AJ5eI5OnqOPBNLWSHKh2a30DoXe8/edit?usp=sharing"",""นครศรีธรรมราช!M452"")"),0)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IFERROR(__xludf.DUMMYFUNCTION("IMPORTRANGE(""https://docs.google.com/spreadsheets/d/1IYY_tgx_IHuhSq3AJ5eI5OnqOPBNLWSHKh2a30DoXe8/edit?usp=sharing"",""นครศรีธรรมราช!M453"")"),0)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IFERROR(__xludf.DUMMYFUNCTION("IMPORTRANGE(""https://docs.google.com/spreadsheets/d/1IYY_tgx_IHuhSq3AJ5eI5OnqOPBNLWSHKh2a30DoXe8/edit?usp=sharing"",""นครศรีธรรมราช!M454"")"),0)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IFERROR(__xludf.DUMMYFUNCTION("IMPORTRANGE(""https://docs.google.com/spreadsheets/d/1IYY_tgx_IHuhSq3AJ5eI5OnqOPBNLWSHKh2a30DoXe8/edit?usp=sharing"",""นครศรีธรรมราช!I455"")"),0)</f>
        <v>0</v>
      </c>
      <c r="J560" s="166">
        <f ca="1">IFERROR(__xludf.DUMMYFUNCTION("IMPORTRANGE(""https://docs.google.com/spreadsheets/d/1IYY_tgx_IHuhSq3AJ5eI5OnqOPBNLWSHKh2a30DoXe8/edit?usp=sharing"",""นครศรีธรรมราช!J455"")"),0)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IFERROR(__xludf.DUMMYFUNCTION("IMPORTRANGE(""https://docs.google.com/spreadsheets/d/1IYY_tgx_IHuhSq3AJ5eI5OnqOPBNLWSHKh2a30DoXe8/edit?usp=sharing"",""นครศรีธรรมราช!I456"")"),0)</f>
        <v>0</v>
      </c>
      <c r="J561" s="210">
        <f ca="1">IFERROR(__xludf.DUMMYFUNCTION("IMPORTRANGE(""https://docs.google.com/spreadsheets/d/1IYY_tgx_IHuhSq3AJ5eI5OnqOPBNLWSHKh2a30DoXe8/edit?usp=sharing"",""นครศรีธรรมราช!J456"")"),0)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IFERROR(__xludf.DUMMYFUNCTION("IMPORTRANGE(""https://docs.google.com/spreadsheets/d/1IYY_tgx_IHuhSq3AJ5eI5OnqOPBNLWSHKh2a30DoXe8/edit?usp=sharing"",""นครศรีธรรมราช!J459"")"),3885)</f>
        <v>3885</v>
      </c>
      <c r="K564" s="378">
        <f ca="1">IF(I564&gt;0,J564*100/I564,0)</f>
        <v>228.52941176470588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IFERROR(__xludf.DUMMYFUNCTION("IMPORTRANGE(""https://docs.google.com/spreadsheets/d/1IYY_tgx_IHuhSq3AJ5eI5OnqOPBNLWSHKh2a30DoXe8/edit?usp=sharing"",""นครศรีธรรมราช!M459"")"),132408.66)</f>
        <v>132408.66</v>
      </c>
      <c r="O564" s="379">
        <f t="shared" ref="O564:O568" ca="1" si="122">+IF(L564&gt;0,N564*100/L564,0)</f>
        <v>91.040057755775578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IFERROR(__xludf.DUMMYFUNCTION("IMPORTRANGE(""https://docs.google.com/spreadsheets/d/1IYY_tgx_IHuhSq3AJ5eI5OnqOPBNLWSHKh2a30DoXe8/edit?usp=sharing"",""นครศรีธรรมราช!L460"")"),0)</f>
        <v>0</v>
      </c>
      <c r="M565" s="168"/>
      <c r="N565" s="175">
        <f ca="1">IFERROR(__xludf.DUMMYFUNCTION("IMPORTRANGE(""https://docs.google.com/spreadsheets/d/1IYY_tgx_IHuhSq3AJ5eI5OnqOPBNLWSHKh2a30DoXe8/edit?usp=sharing"",""นครศรีธรรมราช!M460"")"),0)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5">
        <f ca="1">IFERROR(__xludf.DUMMYFUNCTION("IMPORTRANGE(""https://docs.google.com/spreadsheets/d/1IYY_tgx_IHuhSq3AJ5eI5OnqOPBNLWSHKh2a30DoXe8/edit?usp=sharing"",""นครศรีธรรมราช!M461"")"),132408.66)</f>
        <v>132408.66</v>
      </c>
      <c r="O566" s="175">
        <f t="shared" ca="1" si="122"/>
        <v>91.040057755775578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IFERROR(__xludf.DUMMYFUNCTION("IMPORTRANGE(""https://docs.google.com/spreadsheets/d/1IYY_tgx_IHuhSq3AJ5eI5OnqOPBNLWSHKh2a30DoXe8/edit?usp=sharing"",""นครศรีธรรมราช!L462"")"),0)</f>
        <v>0</v>
      </c>
      <c r="M567" s="175"/>
      <c r="N567" s="175">
        <f ca="1">IFERROR(__xludf.DUMMYFUNCTION("IMPORTRANGE(""https://docs.google.com/spreadsheets/d/1IYY_tgx_IHuhSq3AJ5eI5OnqOPBNLWSHKh2a30DoXe8/edit?usp=sharing"",""นครศรีธรรมราช!M462"")"),0)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5"/>
      <c r="N568" s="175">
        <f ca="1">IFERROR(__xludf.DUMMYFUNCTION("IMPORTRANGE(""https://docs.google.com/spreadsheets/d/1IYY_tgx_IHuhSq3AJ5eI5OnqOPBNLWSHKh2a30DoXe8/edit?usp=sharing"",""นครศรีธรรมราช!M463"")"),132408.66)</f>
        <v>132408.66</v>
      </c>
      <c r="O568" s="175">
        <f t="shared" ca="1" si="122"/>
        <v>91.040057755775578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IFERROR(__xludf.DUMMYFUNCTION("IMPORTRANGE(""https://docs.google.com/spreadsheets/d/1IYY_tgx_IHuhSq3AJ5eI5OnqOPBNLWSHKh2a30DoXe8/edit?usp=sharing"",""นครศรีธรรมราช!M464"")"),0)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IFERROR(__xludf.DUMMYFUNCTION("IMPORTRANGE(""https://docs.google.com/spreadsheets/d/1IYY_tgx_IHuhSq3AJ5eI5OnqOPBNLWSHKh2a30DoXe8/edit?usp=sharing"",""นครศรีธรรมราช!M465"")"),0)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IFERROR(__xludf.DUMMYFUNCTION("IMPORTRANGE(""https://docs.google.com/spreadsheets/d/1IYY_tgx_IHuhSq3AJ5eI5OnqOPBNLWSHKh2a30DoXe8/edit?usp=sharing"",""นครศรีธรรมราช!M466"")"),87266.66)</f>
        <v>87266.66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IFERROR(__xludf.DUMMYFUNCTION("IMPORTRANGE(""https://docs.google.com/spreadsheets/d/1IYY_tgx_IHuhSq3AJ5eI5OnqOPBNLWSHKh2a30DoXe8/edit?usp=sharing"",""นครศรีธรรมราช!M467"")"),45142)</f>
        <v>45142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IFERROR(__xludf.DUMMYFUNCTION("IMPORTRANGE(""https://docs.google.com/spreadsheets/d/1IYY_tgx_IHuhSq3AJ5eI5OnqOPBNLWSHKh2a30DoXe8/edit?usp=sharing"",""นครศรีธรรมราช!J468"")"),3885)</f>
        <v>3885</v>
      </c>
      <c r="K573" s="208">
        <f ca="1">IF(I573&gt;0,J573*100/I573,0)</f>
        <v>228.52941176470588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IFERROR(__xludf.DUMMYFUNCTION("IMPORTRANGE(""https://docs.google.com/spreadsheets/d/1IYY_tgx_IHuhSq3AJ5eI5OnqOPBNLWSHKh2a30DoXe8/edit?usp=sharing"",""นครศรีธรรมราช!I470"")"),0)</f>
        <v>0</v>
      </c>
      <c r="J575" s="204">
        <f ca="1">IFERROR(__xludf.DUMMYFUNCTION("IMPORTRANGE(""https://docs.google.com/spreadsheets/d/1IYY_tgx_IHuhSq3AJ5eI5OnqOPBNLWSHKh2a30DoXe8/edit?usp=sharing"",""นครศรีธรรมราช!J470"")"),10)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IFERROR(__xludf.DUMMYFUNCTION("IMPORTRANGE(""https://docs.google.com/spreadsheets/d/1IYY_tgx_IHuhSq3AJ5eI5OnqOPBNLWSHKh2a30DoXe8/edit?usp=sharing"",""นครศรีธรรมราช!I471"")"),0)</f>
        <v>0</v>
      </c>
      <c r="J576" s="204">
        <f ca="1">IFERROR(__xludf.DUMMYFUNCTION("IMPORTRANGE(""https://docs.google.com/spreadsheets/d/1IYY_tgx_IHuhSq3AJ5eI5OnqOPBNLWSHKh2a30DoXe8/edit?usp=sharing"",""นครศรีธรรมราช!J471"")"),693)</f>
        <v>693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IFERROR(__xludf.DUMMYFUNCTION("IMPORTRANGE(""https://docs.google.com/spreadsheets/d/1IYY_tgx_IHuhSq3AJ5eI5OnqOPBNLWSHKh2a30DoXe8/edit?usp=sharing"",""นครศรีธรรมราช!I472"")"),0)</f>
        <v>0</v>
      </c>
      <c r="J577" s="195">
        <f ca="1">IFERROR(__xludf.DUMMYFUNCTION("IMPORTRANGE(""https://docs.google.com/spreadsheets/d/1IYY_tgx_IHuhSq3AJ5eI5OnqOPBNLWSHKh2a30DoXe8/edit?usp=sharing"",""นครศรีธรรมราช!J472"")"),3192)</f>
        <v>3192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IFERROR(__xludf.DUMMYFUNCTION("IMPORTRANGE(""https://docs.google.com/spreadsheets/d/1IYY_tgx_IHuhSq3AJ5eI5OnqOPBNLWSHKh2a30DoXe8/edit?usp=sharing"",""นครศรีธรรมราช!I473"")"),0)</f>
        <v>0</v>
      </c>
      <c r="J578" s="204">
        <f ca="1">IFERROR(__xludf.DUMMYFUNCTION("IMPORTRANGE(""https://docs.google.com/spreadsheets/d/1IYY_tgx_IHuhSq3AJ5eI5OnqOPBNLWSHKh2a30DoXe8/edit?usp=sharing"",""นครศรีธรรมราช!J473"")"),0)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IFERROR(__xludf.DUMMYFUNCTION("IMPORTRANGE(""https://docs.google.com/spreadsheets/d/1IYY_tgx_IHuhSq3AJ5eI5OnqOPBNLWSHKh2a30DoXe8/edit?usp=sharing"",""นครศรีธรรมราช!I474"")"),0)</f>
        <v>0</v>
      </c>
      <c r="J579" s="204">
        <f ca="1">IFERROR(__xludf.DUMMYFUNCTION("IMPORTRANGE(""https://docs.google.com/spreadsheets/d/1IYY_tgx_IHuhSq3AJ5eI5OnqOPBNLWSHKh2a30DoXe8/edit?usp=sharing"",""นครศรีธรรมราช!J474"")"),0)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IFERROR(__xludf.DUMMYFUNCTION("IMPORTRANGE(""https://docs.google.com/spreadsheets/d/1IYY_tgx_IHuhSq3AJ5eI5OnqOPBNLWSHKh2a30DoXe8/edit?usp=sharing"",""นครศรีธรรมราช!J475"")"),2)</f>
        <v>2</v>
      </c>
      <c r="K580" s="378">
        <f ca="1">IF(I580&gt;0,J580*100/I580,0)</f>
        <v>7.4074074074074074</v>
      </c>
      <c r="L580" s="379">
        <f ca="1">IFERROR(__xludf.DUMMYFUNCTION("IMPORTRANGE(""https://docs.google.com/spreadsheets/d/1IYY_tgx_IHuhSq3AJ5eI5OnqOPBNLWSHKh2a30DoXe8/edit?usp=sharing"",""นครศรีธรรมราช!L475"")"),161177)</f>
        <v>161177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IFERROR(__xludf.DUMMYFUNCTION("IMPORTRANGE(""https://docs.google.com/spreadsheets/d/1IYY_tgx_IHuhSq3AJ5eI5OnqOPBNLWSHKh2a30DoXe8/edit?usp=sharing"",""นครศรีธรรมราช!M475"")"),17431)</f>
        <v>17431</v>
      </c>
      <c r="O580" s="379">
        <f t="shared" ref="O580:O584" ca="1" si="124">+IF(L580&gt;0,N580*100/L580,0)</f>
        <v>10.814818491472108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IFERROR(__xludf.DUMMYFUNCTION("IMPORTRANGE(""https://docs.google.com/spreadsheets/d/1IYY_tgx_IHuhSq3AJ5eI5OnqOPBNLWSHKh2a30DoXe8/edit?usp=sharing"",""นครศรีธรรมราช!L476"")"),0)</f>
        <v>0</v>
      </c>
      <c r="M581" s="168"/>
      <c r="N581" s="175">
        <f ca="1">IFERROR(__xludf.DUMMYFUNCTION("IMPORTRANGE(""https://docs.google.com/spreadsheets/d/1IYY_tgx_IHuhSq3AJ5eI5OnqOPBNLWSHKh2a30DoXe8/edit?usp=sharing"",""นครศรีธรรมราช!M476"")"),0)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IFERROR(__xludf.DUMMYFUNCTION("IMPORTRANGE(""https://docs.google.com/spreadsheets/d/1IYY_tgx_IHuhSq3AJ5eI5OnqOPBNLWSHKh2a30DoXe8/edit?usp=sharing"",""นครศรีธรรมราช!L477"")"),161177)</f>
        <v>161177</v>
      </c>
      <c r="M582" s="169"/>
      <c r="N582" s="175">
        <f ca="1">IFERROR(__xludf.DUMMYFUNCTION("IMPORTRANGE(""https://docs.google.com/spreadsheets/d/1IYY_tgx_IHuhSq3AJ5eI5OnqOPBNLWSHKh2a30DoXe8/edit?usp=sharing"",""นครศรีธรรมราช!M477"")"),17431)</f>
        <v>17431</v>
      </c>
      <c r="O582" s="175">
        <f t="shared" ca="1" si="124"/>
        <v>10.814818491472108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IFERROR(__xludf.DUMMYFUNCTION("IMPORTRANGE(""https://docs.google.com/spreadsheets/d/1IYY_tgx_IHuhSq3AJ5eI5OnqOPBNLWSHKh2a30DoXe8/edit?usp=sharing"",""นครศรีธรรมราช!L478"")"),0)</f>
        <v>0</v>
      </c>
      <c r="M583" s="175"/>
      <c r="N583" s="175">
        <f ca="1">IFERROR(__xludf.DUMMYFUNCTION("IMPORTRANGE(""https://docs.google.com/spreadsheets/d/1IYY_tgx_IHuhSq3AJ5eI5OnqOPBNLWSHKh2a30DoXe8/edit?usp=sharing"",""นครศรีธรรมราช!M478"")"),0)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IFERROR(__xludf.DUMMYFUNCTION("IMPORTRANGE(""https://docs.google.com/spreadsheets/d/1IYY_tgx_IHuhSq3AJ5eI5OnqOPBNLWSHKh2a30DoXe8/edit?usp=sharing"",""นครศรีธรรมราช!L479"")"),161177)</f>
        <v>161177</v>
      </c>
      <c r="M584" s="175"/>
      <c r="N584" s="175">
        <f ca="1">IFERROR(__xludf.DUMMYFUNCTION("IMPORTRANGE(""https://docs.google.com/spreadsheets/d/1IYY_tgx_IHuhSq3AJ5eI5OnqOPBNLWSHKh2a30DoXe8/edit?usp=sharing"",""นครศรีธรรมราช!M479"")"),17431)</f>
        <v>17431</v>
      </c>
      <c r="O584" s="175">
        <f t="shared" ca="1" si="124"/>
        <v>10.814818491472108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IFERROR(__xludf.DUMMYFUNCTION("IMPORTRANGE(""https://docs.google.com/spreadsheets/d/1IYY_tgx_IHuhSq3AJ5eI5OnqOPBNLWSHKh2a30DoXe8/edit?usp=sharing"",""นครศรีธรรมราช!M480"")"),0)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IFERROR(__xludf.DUMMYFUNCTION("IMPORTRANGE(""https://docs.google.com/spreadsheets/d/1IYY_tgx_IHuhSq3AJ5eI5OnqOPBNLWSHKh2a30DoXe8/edit?usp=sharing"",""นครศรีธรรมราช!M481"")"),0)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IFERROR(__xludf.DUMMYFUNCTION("IMPORTRANGE(""https://docs.google.com/spreadsheets/d/1IYY_tgx_IHuhSq3AJ5eI5OnqOPBNLWSHKh2a30DoXe8/edit?usp=sharing"",""นครศรีธรรมราช!M482"")"),0)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IFERROR(__xludf.DUMMYFUNCTION("IMPORTRANGE(""https://docs.google.com/spreadsheets/d/1IYY_tgx_IHuhSq3AJ5eI5OnqOPBNLWSHKh2a30DoXe8/edit?usp=sharing"",""นครศรีธรรมราช!M483"")"),17431)</f>
        <v>17431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4">
        <f ca="1">IFERROR(__xludf.DUMMYFUNCTION("IMPORTRANGE(""https://docs.google.com/spreadsheets/d/1IYY_tgx_IHuhSq3AJ5eI5OnqOPBNLWSHKh2a30DoXe8/edit?usp=sharing"",""นครศรีธรรมราช!J484"")"),0)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4">
        <f ca="1">IFERROR(__xludf.DUMMYFUNCTION("IMPORTRANGE(""https://docs.google.com/spreadsheets/d/1IYY_tgx_IHuhSq3AJ5eI5OnqOPBNLWSHKh2a30DoXe8/edit?usp=sharing"",""นครศรีธรรมราช!J485"")"),0)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4">
        <f ca="1">IFERROR(__xludf.DUMMYFUNCTION("IMPORTRANGE(""https://docs.google.com/spreadsheets/d/1IYY_tgx_IHuhSq3AJ5eI5OnqOPBNLWSHKh2a30DoXe8/edit?usp=sharing"",""นครศรีธรรมราช!J486"")"),8)</f>
        <v>8</v>
      </c>
      <c r="K591" s="167">
        <f t="shared" ca="1" si="125"/>
        <v>29.62962962962963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4">
        <f ca="1">IFERROR(__xludf.DUMMYFUNCTION("IMPORTRANGE(""https://docs.google.com/spreadsheets/d/1IYY_tgx_IHuhSq3AJ5eI5OnqOPBNLWSHKh2a30DoXe8/edit?usp=sharing"",""นครศรีธรรมราช!J487"")"),3.49)</f>
        <v>3.49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4">
        <f ca="1">IFERROR(__xludf.DUMMYFUNCTION("IMPORTRANGE(""https://docs.google.com/spreadsheets/d/1IYY_tgx_IHuhSq3AJ5eI5OnqOPBNLWSHKh2a30DoXe8/edit?usp=sharing"",""นครศรีธรรมราช!J488"")"),0)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4">
        <f ca="1">IFERROR(__xludf.DUMMYFUNCTION("IMPORTRANGE(""https://docs.google.com/spreadsheets/d/1IYY_tgx_IHuhSq3AJ5eI5OnqOPBNLWSHKh2a30DoXe8/edit?usp=sharing"",""นครศรีธรรมราช!J489"")"),0)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4">
        <f ca="1">IFERROR(__xludf.DUMMYFUNCTION("IMPORTRANGE(""https://docs.google.com/spreadsheets/d/1IYY_tgx_IHuhSq3AJ5eI5OnqOPBNLWSHKh2a30DoXe8/edit?usp=sharing"",""นครศรีธรรมราช!J490"")"),2)</f>
        <v>2</v>
      </c>
      <c r="K595" s="167">
        <f t="shared" ca="1" si="125"/>
        <v>7.4074074074074074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IFERROR(__xludf.DUMMYFUNCTION("IMPORTRANGE(""https://docs.google.com/spreadsheets/d/1IYY_tgx_IHuhSq3AJ5eI5OnqOPBNLWSHKh2a30DoXe8/edit?usp=sharing"",""นครศรีธรรมราช!I491"")"),0)</f>
        <v>0</v>
      </c>
      <c r="J596" s="247">
        <f ca="1">IFERROR(__xludf.DUMMYFUNCTION("IMPORTRANGE(""https://docs.google.com/spreadsheets/d/1IYY_tgx_IHuhSq3AJ5eI5OnqOPBNLWSHKh2a30DoXe8/edit?usp=sharing"",""นครศรีธรรมราช!J491"")"),1.01)</f>
        <v>1.01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4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IFERROR(__xludf.DUMMYFUNCTION("IMPORTRANGE(""https://docs.google.com/spreadsheets/d/1IYY_tgx_IHuhSq3AJ5eI5OnqOPBNLWSHKh2a30DoXe8/edit?usp=sharing"",""นครศรีธรรมราช!L493"")"),0)</f>
        <v>0</v>
      </c>
      <c r="M598" s="168"/>
      <c r="N598" s="175">
        <f ca="1">IFERROR(__xludf.DUMMYFUNCTION("IMPORTRANGE(""https://docs.google.com/spreadsheets/d/1IYY_tgx_IHuhSq3AJ5eI5OnqOPBNLWSHKh2a30DoXe8/edit?usp=sharing"",""นครศรีธรรมราช!M493"")"),0)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69"/>
      <c r="N599" s="175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IFERROR(__xludf.DUMMYFUNCTION("IMPORTRANGE(""https://docs.google.com/spreadsheets/d/1IYY_tgx_IHuhSq3AJ5eI5OnqOPBNLWSHKh2a30DoXe8/edit?usp=sharing"",""นครศรีธรรมราช!L495"")"),0)</f>
        <v>0</v>
      </c>
      <c r="M600" s="175"/>
      <c r="N600" s="175">
        <f ca="1">IFERROR(__xludf.DUMMYFUNCTION("IMPORTRANGE(""https://docs.google.com/spreadsheets/d/1IYY_tgx_IHuhSq3AJ5eI5OnqOPBNLWSHKh2a30DoXe8/edit?usp=sharing"",""นครศรีธรรมราช!M495"")"),0)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5"/>
      <c r="N601" s="175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IFERROR(__xludf.DUMMYFUNCTION("IMPORTRANGE(""https://docs.google.com/spreadsheets/d/1IYY_tgx_IHuhSq3AJ5eI5OnqOPBNLWSHKh2a30DoXe8/edit?usp=sharing"",""นครศรีธรรมราช!M497"")"),0)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IFERROR(__xludf.DUMMYFUNCTION("IMPORTRANGE(""https://docs.google.com/spreadsheets/d/1IYY_tgx_IHuhSq3AJ5eI5OnqOPBNLWSHKh2a30DoXe8/edit?usp=sharing"",""นครศรีธรรมราช!M498"")"),0)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IFERROR(__xludf.DUMMYFUNCTION("IMPORTRANGE(""https://docs.google.com/spreadsheets/d/1IYY_tgx_IHuhSq3AJ5eI5OnqOPBNLWSHKh2a30DoXe8/edit?usp=sharing"",""นครศรีธรรมราช!J502"")"),0)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IFERROR(__xludf.DUMMYFUNCTION("IMPORTRANGE(""https://docs.google.com/spreadsheets/d/1IYY_tgx_IHuhSq3AJ5eI5OnqOPBNLWSHKh2a30DoXe8/edit?usp=sharing"",""นครศรีธรรมราช!J503"")"),1)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IFERROR(__xludf.DUMMYFUNCTION("IMPORTRANGE(""https://docs.google.com/spreadsheets/d/1IYY_tgx_IHuhSq3AJ5eI5OnqOPBNLWSHKh2a30DoXe8/edit?usp=sharing"",""นครศรีธรรมราช!J166"")"),0)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IFERROR(__xludf.DUMMYFUNCTION("IMPORTRANGE(""https://docs.google.com/spreadsheets/d/1IYY_tgx_IHuhSq3AJ5eI5OnqOPBNLWSHKh2a30DoXe8/edit?usp=sharing"",""นครศรีธรรมราช!J166"")"),0)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6">
        <f ca="1">IFERROR(__xludf.DUMMYFUNCTION("IMPORTRANGE(""https://docs.google.com/spreadsheets/d/1IYY_tgx_IHuhSq3AJ5eI5OnqOPBNLWSHKh2a30DoXe8/edit?usp=sharing"",""นครศรีธรรมราช!J506"")"),0)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IFERROR(__xludf.DUMMYFUNCTION("IMPORTRANGE(""https://docs.google.com/spreadsheets/d/1IYY_tgx_IHuhSq3AJ5eI5OnqOPBNLWSHKh2a30DoXe8/edit?usp=sharing"",""นครศรีธรรมราช!I507"")"),0)</f>
        <v>0</v>
      </c>
      <c r="J612" s="204">
        <f ca="1">IFERROR(__xludf.DUMMYFUNCTION("IMPORTRANGE(""https://docs.google.com/spreadsheets/d/1IYY_tgx_IHuhSq3AJ5eI5OnqOPBNLWSHKh2a30DoXe8/edit?usp=sharing"",""นครศรีธรรมราช!J507"")"),0)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IFERROR(__xludf.DUMMYFUNCTION("IMPORTRANGE(""https://docs.google.com/spreadsheets/d/1IYY_tgx_IHuhSq3AJ5eI5OnqOPBNLWSHKh2a30DoXe8/edit?usp=sharing"",""นครศรีธรรมราช!I508"")"),0)</f>
        <v>0</v>
      </c>
      <c r="J613" s="204">
        <f ca="1">IFERROR(__xludf.DUMMYFUNCTION("IMPORTRANGE(""https://docs.google.com/spreadsheets/d/1IYY_tgx_IHuhSq3AJ5eI5OnqOPBNLWSHKh2a30DoXe8/edit?usp=sharing"",""นครศรีธรรมราช!J508"")"),0)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IFERROR(__xludf.DUMMYFUNCTION("IMPORTRANGE(""https://docs.google.com/spreadsheets/d/1IYY_tgx_IHuhSq3AJ5eI5OnqOPBNLWSHKh2a30DoXe8/edit?usp=sharing"",""นครศรีธรรมราช!I509"")"),0)</f>
        <v>0</v>
      </c>
      <c r="J614" s="204">
        <f ca="1">IFERROR(__xludf.DUMMYFUNCTION("IMPORTRANGE(""https://docs.google.com/spreadsheets/d/1IYY_tgx_IHuhSq3AJ5eI5OnqOPBNLWSHKh2a30DoXe8/edit?usp=sharing"",""นครศรีธรรมราช!J509"")"),0)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IFERROR(__xludf.DUMMYFUNCTION("IMPORTRANGE(""https://docs.google.com/spreadsheets/d/1IYY_tgx_IHuhSq3AJ5eI5OnqOPBNLWSHKh2a30DoXe8/edit?usp=sharing"",""นครศรีธรรมราช!I510"")"),0)</f>
        <v>0</v>
      </c>
      <c r="J615" s="204">
        <f ca="1">IFERROR(__xludf.DUMMYFUNCTION("IMPORTRANGE(""https://docs.google.com/spreadsheets/d/1IYY_tgx_IHuhSq3AJ5eI5OnqOPBNLWSHKh2a30DoXe8/edit?usp=sharing"",""นครศรีธรรมราช!J510"")"),0)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IFERROR(__xludf.DUMMYFUNCTION("IMPORTRANGE(""https://docs.google.com/spreadsheets/d/1IYY_tgx_IHuhSq3AJ5eI5OnqOPBNLWSHKh2a30DoXe8/edit?usp=sharing"",""นครศรีธรรมราช!I511"")"),0)</f>
        <v>0</v>
      </c>
      <c r="J616" s="204">
        <f ca="1">IFERROR(__xludf.DUMMYFUNCTION("IMPORTRANGE(""https://docs.google.com/spreadsheets/d/1IYY_tgx_IHuhSq3AJ5eI5OnqOPBNLWSHKh2a30DoXe8/edit?usp=sharing"",""นครศรีธรรมราช!J511"")"),0)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IFERROR(__xludf.DUMMYFUNCTION("IMPORTRANGE(""https://docs.google.com/spreadsheets/d/1IYY_tgx_IHuhSq3AJ5eI5OnqOPBNLWSHKh2a30DoXe8/edit?usp=sharing"",""นครศรีธรรมราช!I512"")"),0)</f>
        <v>0</v>
      </c>
      <c r="J617" s="194">
        <f ca="1">IFERROR(__xludf.DUMMYFUNCTION("IMPORTRANGE(""https://docs.google.com/spreadsheets/d/1IYY_tgx_IHuhSq3AJ5eI5OnqOPBNLWSHKh2a30DoXe8/edit?usp=sharing"",""นครศรีธรรมราช!J512"")"),0)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IFERROR(__xludf.DUMMYFUNCTION("IMPORTRANGE(""https://docs.google.com/spreadsheets/d/1IYY_tgx_IHuhSq3AJ5eI5OnqOPBNLWSHKh2a30DoXe8/edit?usp=sharing"",""นครศรีธรรมราช!I513"")"),0)</f>
        <v>0</v>
      </c>
      <c r="J618" s="195">
        <f ca="1">IFERROR(__xludf.DUMMYFUNCTION("IMPORTRANGE(""https://docs.google.com/spreadsheets/d/1IYY_tgx_IHuhSq3AJ5eI5OnqOPBNLWSHKh2a30DoXe8/edit?usp=sharing"",""นครศรีธรรมราช!J513"")"),0)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IFERROR(__xludf.DUMMYFUNCTION("IMPORTRANGE(""https://docs.google.com/spreadsheets/d/1IYY_tgx_IHuhSq3AJ5eI5OnqOPBNLWSHKh2a30DoXe8/edit?usp=sharing"",""นครศรีธรรมราช!I514"")"),0)</f>
        <v>0</v>
      </c>
      <c r="J619" s="195">
        <f ca="1">IFERROR(__xludf.DUMMYFUNCTION("IMPORTRANGE(""https://docs.google.com/spreadsheets/d/1IYY_tgx_IHuhSq3AJ5eI5OnqOPBNLWSHKh2a30DoXe8/edit?usp=sharing"",""นครศรีธรรมราช!J514"")"),0)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IFERROR(__xludf.DUMMYFUNCTION("IMPORTRANGE(""https://docs.google.com/spreadsheets/d/1IYY_tgx_IHuhSq3AJ5eI5OnqOPBNLWSHKh2a30DoXe8/edit?usp=sharing"",""นครศรีธรรมราช!I515"")"),0)</f>
        <v>0</v>
      </c>
      <c r="J620" s="209">
        <f ca="1">IFERROR(__xludf.DUMMYFUNCTION("IMPORTRANGE(""https://docs.google.com/spreadsheets/d/1IYY_tgx_IHuhSq3AJ5eI5OnqOPBNLWSHKh2a30DoXe8/edit?usp=sharing"",""นครศรีธรรมราช!J515"")"),0)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IFERROR(__xludf.DUMMYFUNCTION("IMPORTRANGE(""https://docs.google.com/spreadsheets/d/1IYY_tgx_IHuhSq3AJ5eI5OnqOPBNLWSHKh2a30DoXe8/edit?usp=sharing"",""นครศรีธรรมราช!I516"")"),0)</f>
        <v>0</v>
      </c>
      <c r="J621" s="209">
        <f ca="1">IFERROR(__xludf.DUMMYFUNCTION("IMPORTRANGE(""https://docs.google.com/spreadsheets/d/1IYY_tgx_IHuhSq3AJ5eI5OnqOPBNLWSHKh2a30DoXe8/edit?usp=sharing"",""นครศรีธรรมราช!J516"")"),0)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IFERROR(__xludf.DUMMYFUNCTION("IMPORTRANGE(""https://docs.google.com/spreadsheets/d/1IYY_tgx_IHuhSq3AJ5eI5OnqOPBNLWSHKh2a30DoXe8/edit?usp=sharing"",""นครศรีธรรมราช!I517"")"),0)</f>
        <v>0</v>
      </c>
      <c r="J622" s="195">
        <f ca="1">IFERROR(__xludf.DUMMYFUNCTION("IMPORTRANGE(""https://docs.google.com/spreadsheets/d/1IYY_tgx_IHuhSq3AJ5eI5OnqOPBNLWSHKh2a30DoXe8/edit?usp=sharing"",""นครศรีธรรมราช!J517"")"),0)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IFERROR(__xludf.DUMMYFUNCTION("IMPORTRANGE(""https://docs.google.com/spreadsheets/d/1IYY_tgx_IHuhSq3AJ5eI5OnqOPBNLWSHKh2a30DoXe8/edit?usp=sharing"",""นครศรีธรรมราช!I518"")"),0)</f>
        <v>0</v>
      </c>
      <c r="J623" s="195">
        <f ca="1">IFERROR(__xludf.DUMMYFUNCTION("IMPORTRANGE(""https://docs.google.com/spreadsheets/d/1IYY_tgx_IHuhSq3AJ5eI5OnqOPBNLWSHKh2a30DoXe8/edit?usp=sharing"",""นครศรีธรรมราช!J518"")"),0)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IFERROR(__xludf.DUMMYFUNCTION("IMPORTRANGE(""https://docs.google.com/spreadsheets/d/1IYY_tgx_IHuhSq3AJ5eI5OnqOPBNLWSHKh2a30DoXe8/edit?usp=sharing"",""นครศรีธรรมราช!I519"")"),0)</f>
        <v>0</v>
      </c>
      <c r="J624" s="194">
        <f ca="1">IFERROR(__xludf.DUMMYFUNCTION("IMPORTRANGE(""https://docs.google.com/spreadsheets/d/1IYY_tgx_IHuhSq3AJ5eI5OnqOPBNLWSHKh2a30DoXe8/edit?usp=sharing"",""นครศรีธรรมราช!J519"")"),0)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IFERROR(__xludf.DUMMYFUNCTION("IMPORTRANGE(""https://docs.google.com/spreadsheets/d/1IYY_tgx_IHuhSq3AJ5eI5OnqOPBNLWSHKh2a30DoXe8/edit?usp=sharing"",""นครศรีธรรมราช!I520"")"),0)</f>
        <v>0</v>
      </c>
      <c r="J625" s="195">
        <f ca="1">IFERROR(__xludf.DUMMYFUNCTION("IMPORTRANGE(""https://docs.google.com/spreadsheets/d/1IYY_tgx_IHuhSq3AJ5eI5OnqOPBNLWSHKh2a30DoXe8/edit?usp=sharing"",""นครศรีธรรมราช!J520"")"),0)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IFERROR(__xludf.DUMMYFUNCTION("IMPORTRANGE(""https://docs.google.com/spreadsheets/d/1IYY_tgx_IHuhSq3AJ5eI5OnqOPBNLWSHKh2a30DoXe8/edit?usp=sharing"",""นครศรีธรรมราช!I521"")"),0)</f>
        <v>0</v>
      </c>
      <c r="J626" s="195">
        <f ca="1">IFERROR(__xludf.DUMMYFUNCTION("IMPORTRANGE(""https://docs.google.com/spreadsheets/d/1IYY_tgx_IHuhSq3AJ5eI5OnqOPBNLWSHKh2a30DoXe8/edit?usp=sharing"",""นครศรีธรรมราช!J521"")"),0)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IFERROR(__xludf.DUMMYFUNCTION("IMPORTRANGE(""https://docs.google.com/spreadsheets/d/1IYY_tgx_IHuhSq3AJ5eI5OnqOPBNLWSHKh2a30DoXe8/edit?usp=sharing"",""นครศรีธรรมราช!J523"")"),1321439.36)</f>
        <v>1321439.3600000001</v>
      </c>
      <c r="K628" s="348">
        <f t="shared" ref="K628:K635" ca="1" si="129">IF(I628&gt;0,J628*100/I628,0)</f>
        <v>60.922705114919168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IFERROR(__xludf.DUMMYFUNCTION("IMPORTRANGE(""https://docs.google.com/spreadsheets/d/1IYY_tgx_IHuhSq3AJ5eI5OnqOPBNLWSHKh2a30DoXe8/edit?usp=sharing"",""นครศรีธรรมราช!J524"")"),90)</f>
        <v>90</v>
      </c>
      <c r="K629" s="348">
        <f t="shared" ca="1" si="129"/>
        <v>57.692307692307693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IFERROR(__xludf.DUMMYFUNCTION("IMPORTRANGE(""https://docs.google.com/spreadsheets/d/1IYY_tgx_IHuhSq3AJ5eI5OnqOPBNLWSHKh2a30DoXe8/edit?usp=sharing"",""นครศรีธรรมราช!J525"")"),678321.37)</f>
        <v>678321.37</v>
      </c>
      <c r="K630" s="348">
        <f t="shared" ca="1" si="129"/>
        <v>27.519596607474135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IFERROR(__xludf.DUMMYFUNCTION("IMPORTRANGE(""https://docs.google.com/spreadsheets/d/1IYY_tgx_IHuhSq3AJ5eI5OnqOPBNLWSHKh2a30DoXe8/edit?usp=sharing"",""นครศรีธรรมราช!J526"")"),87)</f>
        <v>87</v>
      </c>
      <c r="K631" s="348">
        <f t="shared" ca="1" si="129"/>
        <v>82.857142857142861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IFERROR(__xludf.DUMMYFUNCTION("IMPORTRANGE(""https://docs.google.com/spreadsheets/d/1IYY_tgx_IHuhSq3AJ5eI5OnqOPBNLWSHKh2a30DoXe8/edit?usp=sharing"",""นครศรีธรรมราช!I529"")"),2460000)</f>
        <v>2460000</v>
      </c>
      <c r="J634" s="347">
        <f ca="1">IFERROR(__xludf.DUMMYFUNCTION("IMPORTRANGE(""https://docs.google.com/spreadsheets/d/1IYY_tgx_IHuhSq3AJ5eI5OnqOPBNLWSHKh2a30DoXe8/edit?usp=sharing"",""นครศรีธรรมราช!J529"")"),2000000)</f>
        <v>2000000</v>
      </c>
      <c r="K634" s="348">
        <f t="shared" ca="1" si="129"/>
        <v>81.300813008130078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IFERROR(__xludf.DUMMYFUNCTION("IMPORTRANGE(""https://docs.google.com/spreadsheets/d/1IYY_tgx_IHuhSq3AJ5eI5OnqOPBNLWSHKh2a30DoXe8/edit?usp=sharing"",""นครศรีธรรมราช!I530"")"),83)</f>
        <v>83</v>
      </c>
      <c r="J635" s="518">
        <f ca="1">IFERROR(__xludf.DUMMYFUNCTION("IMPORTRANGE(""https://docs.google.com/spreadsheets/d/1IYY_tgx_IHuhSq3AJ5eI5OnqOPBNLWSHKh2a30DoXe8/edit?usp=sharing"",""นครศรีธรรมราช!J530"")"),58)</f>
        <v>58</v>
      </c>
      <c r="K635" s="493">
        <f t="shared" ca="1" si="129"/>
        <v>69.879518072289159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IFERROR(__xludf.DUMMYFUNCTION("IMPORTRANGE(""https://docs.google.com/spreadsheets/d/1IYY_tgx_IHuhSq3AJ5eI5OnqOPBNLWSHKh2a30DoXe8/edit?usp=sharing"",""นครศรีธรรมราช!J541"")"),0)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IFERROR(__xludf.DUMMYFUNCTION("IMPORTRANGE(""https://docs.google.com/spreadsheets/d/1IYY_tgx_IHuhSq3AJ5eI5OnqOPBNLWSHKh2a30DoXe8/edit?usp=sharing"",""นครศรีธรรมราช!J542"")"),0)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IFERROR(__xludf.DUMMYFUNCTION("IMPORTRANGE(""https://docs.google.com/spreadsheets/d/1IYY_tgx_IHuhSq3AJ5eI5OnqOPBNLWSHKh2a30DoXe8/edit?usp=sharing"",""นครศรีธรรมราช!I543"")"),0)</f>
        <v>0</v>
      </c>
      <c r="J648" s="547">
        <f ca="1">IFERROR(__xludf.DUMMYFUNCTION("IMPORTRANGE(""https://docs.google.com/spreadsheets/d/1IYY_tgx_IHuhSq3AJ5eI5OnqOPBNLWSHKh2a30DoXe8/edit?usp=sharing"",""นครศรีธรรมราช!J543"")"),0)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IFERROR(__xludf.DUMMYFUNCTION("IMPORTRANGE(""https://docs.google.com/spreadsheets/d/1IYY_tgx_IHuhSq3AJ5eI5OnqOPBNLWSHKh2a30DoXe8/edit?usp=sharing"",""นครศรีธรรมราช!L543"")"),0)</f>
        <v>0</v>
      </c>
      <c r="M648" s="534"/>
      <c r="N648" s="549">
        <f ca="1">IFERROR(__xludf.DUMMYFUNCTION("IMPORTRANGE(""https://docs.google.com/spreadsheets/d/1IYY_tgx_IHuhSq3AJ5eI5OnqOPBNLWSHKh2a30DoXe8/edit?usp=sharing"",""นครศรีธรรมราช!M543"")"),0)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IFERROR(__xludf.DUMMYFUNCTION("IMPORTRANGE(""https://docs.google.com/spreadsheets/d/1IYY_tgx_IHuhSq3AJ5eI5OnqOPBNLWSHKh2a30DoXe8/edit?usp=sharing"",""นครศรีธรรมราช!I544"")"),0)</f>
        <v>0</v>
      </c>
      <c r="J649" s="547">
        <f ca="1">IFERROR(__xludf.DUMMYFUNCTION("IMPORTRANGE(""https://docs.google.com/spreadsheets/d/1IYY_tgx_IHuhSq3AJ5eI5OnqOPBNLWSHKh2a30DoXe8/edit?usp=sharing"",""นครศรีธรรมราช!J544"")"),0)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IFERROR(__xludf.DUMMYFUNCTION("IMPORTRANGE(""https://docs.google.com/spreadsheets/d/1IYY_tgx_IHuhSq3AJ5eI5OnqOPBNLWSHKh2a30DoXe8/edit?usp=sharing"",""นครศรีธรรมราช!L544"")"),0)</f>
        <v>0</v>
      </c>
      <c r="M649" s="534"/>
      <c r="N649" s="549">
        <f ca="1">IFERROR(__xludf.DUMMYFUNCTION("IMPORTRANGE(""https://docs.google.com/spreadsheets/d/1IYY_tgx_IHuhSq3AJ5eI5OnqOPBNLWSHKh2a30DoXe8/edit?usp=sharing"",""นครศรีธรรมราช!M544"")"),0)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IFERROR(__xludf.DUMMYFUNCTION("IMPORTRANGE(""https://docs.google.com/spreadsheets/d/1IYY_tgx_IHuhSq3AJ5eI5OnqOPBNLWSHKh2a30DoXe8/edit?usp=sharing"",""นครศรีธรรมราช!I545"")"),0)</f>
        <v>0</v>
      </c>
      <c r="J650" s="547">
        <f ca="1">IFERROR(__xludf.DUMMYFUNCTION("IMPORTRANGE(""https://docs.google.com/spreadsheets/d/1IYY_tgx_IHuhSq3AJ5eI5OnqOPBNLWSHKh2a30DoXe8/edit?usp=sharing"",""นครศรีธรรมราช!J545"")"),0)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IFERROR(__xludf.DUMMYFUNCTION("IMPORTRANGE(""https://docs.google.com/spreadsheets/d/1IYY_tgx_IHuhSq3AJ5eI5OnqOPBNLWSHKh2a30DoXe8/edit?usp=sharing"",""นครศรีธรรมราช!L545"")"),0)</f>
        <v>0</v>
      </c>
      <c r="M650" s="534"/>
      <c r="N650" s="549">
        <f ca="1">IFERROR(__xludf.DUMMYFUNCTION("IMPORTRANGE(""https://docs.google.com/spreadsheets/d/1IYY_tgx_IHuhSq3AJ5eI5OnqOPBNLWSHKh2a30DoXe8/edit?usp=sharing"",""นครศรีธรรมราช!M545"")"),0)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IFERROR(__xludf.DUMMYFUNCTION("IMPORTRANGE(""https://docs.google.com/spreadsheets/d/1IYY_tgx_IHuhSq3AJ5eI5OnqOPBNLWSHKh2a30DoXe8/edit?usp=sharing"",""นครศรีธรรมราช!I546"")"),0)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IFERROR(__xludf.DUMMYFUNCTION("IMPORTRANGE(""https://docs.google.com/spreadsheets/d/1IYY_tgx_IHuhSq3AJ5eI5OnqOPBNLWSHKh2a30DoXe8/edit?usp=sharing"",""นครศรีธรรมราช!L546"")"),0)</f>
        <v>0</v>
      </c>
      <c r="M651" s="534"/>
      <c r="N651" s="549">
        <f ca="1">IFERROR(__xludf.DUMMYFUNCTION("IMPORTRANGE(""https://docs.google.com/spreadsheets/d/1IYY_tgx_IHuhSq3AJ5eI5OnqOPBNLWSHKh2a30DoXe8/edit?usp=sharing"",""นครศรีธรรมราช!M546"")"),0)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IFERROR(__xludf.DUMMYFUNCTION("IMPORTRANGE(""https://docs.google.com/spreadsheets/d/1IYY_tgx_IHuhSq3AJ5eI5OnqOPBNLWSHKh2a30DoXe8/edit?usp=sharing"",""นครศรีธรรมราช!J547"")"),0)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IFERROR(__xludf.DUMMYFUNCTION("IMPORTRANGE(""https://docs.google.com/spreadsheets/d/1IYY_tgx_IHuhSq3AJ5eI5OnqOPBNLWSHKh2a30DoXe8/edit?usp=sharing"",""นครศรีธรรมราช!J548"")"),0)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IFERROR(__xludf.DUMMYFUNCTION("IMPORTRANGE(""https://docs.google.com/spreadsheets/d/1IYY_tgx_IHuhSq3AJ5eI5OnqOPBNLWSHKh2a30DoXe8/edit?usp=sharing"",""นครศรีธรรมราช!J550"")"),0)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IFERROR(__xludf.DUMMYFUNCTION("IMPORTRANGE(""https://docs.google.com/spreadsheets/d/1IYY_tgx_IHuhSq3AJ5eI5OnqOPBNLWSHKh2a30DoXe8/edit?usp=sharing"",""นครศรีธรรมราช!J551"")"),0)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IFERROR(__xludf.DUMMYFUNCTION("IMPORTRANGE(""https://docs.google.com/spreadsheets/d/1IYY_tgx_IHuhSq3AJ5eI5OnqOPBNLWSHKh2a30DoXe8/edit?usp=sharing"",""นครศรีธรรมราช!J552"")"),0)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IFERROR(__xludf.DUMMYFUNCTION("IMPORTRANGE(""https://docs.google.com/spreadsheets/d/1IYY_tgx_IHuhSq3AJ5eI5OnqOPBNLWSHKh2a30DoXe8/edit?usp=sharing"",""นครศรีธรรมราช!J553"")"),0)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IFERROR(__xludf.DUMMYFUNCTION("IMPORTRANGE(""https://docs.google.com/spreadsheets/d/1IYY_tgx_IHuhSq3AJ5eI5OnqOPBNLWSHKh2a30DoXe8/edit?usp=sharing"",""นครศรีธรรมราช!J554"")"),0)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IFERROR(__xludf.DUMMYFUNCTION("IMPORTRANGE(""https://docs.google.com/spreadsheets/d/1IYY_tgx_IHuhSq3AJ5eI5OnqOPBNLWSHKh2a30DoXe8/edit?usp=sharing"",""นครศรีธรรมราช!J555"")"),0)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IFERROR(__xludf.DUMMYFUNCTION("IMPORTRANGE(""https://docs.google.com/spreadsheets/d/1IYY_tgx_IHuhSq3AJ5eI5OnqOPBNLWSHKh2a30DoXe8/edit?usp=sharing"",""นครศรีธรรมราช!J556"")"),0)</f>
        <v>0</v>
      </c>
      <c r="K661" s="548"/>
      <c r="L661" s="535">
        <f ca="1">IFERROR(__xludf.DUMMYFUNCTION("IMPORTRANGE(""https://docs.google.com/spreadsheets/d/1IYY_tgx_IHuhSq3AJ5eI5OnqOPBNLWSHKh2a30DoXe8/edit?usp=sharing"",""นครศรีธรรมราช!L556"")"),0)</f>
        <v>0</v>
      </c>
      <c r="M661" s="534"/>
      <c r="N661" s="549">
        <f ca="1">IFERROR(__xludf.DUMMYFUNCTION("IMPORTRANGE(""https://docs.google.com/spreadsheets/d/1IYY_tgx_IHuhSq3AJ5eI5OnqOPBNLWSHKh2a30DoXe8/edit?usp=sharing"",""นครศรีธรรมราช!M556"")"),0)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IFERROR(__xludf.DUMMYFUNCTION("IMPORTRANGE(""https://docs.google.com/spreadsheets/d/1IYY_tgx_IHuhSq3AJ5eI5OnqOPBNLWSHKh2a30DoXe8/edit?usp=sharing"",""นครศรีธรรมราช!J557"")"),0)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IFERROR(__xludf.DUMMYFUNCTION("IMPORTRANGE(""https://docs.google.com/spreadsheets/d/1IYY_tgx_IHuhSq3AJ5eI5OnqOPBNLWSHKh2a30DoXe8/edit?usp=sharing"",""นครศรีธรรมราช!I558"")"),0)</f>
        <v>0</v>
      </c>
      <c r="J663" s="547">
        <f ca="1">IFERROR(__xludf.DUMMYFUNCTION("IMPORTRANGE(""https://docs.google.com/spreadsheets/d/1IYY_tgx_IHuhSq3AJ5eI5OnqOPBNLWSHKh2a30DoXe8/edit?usp=sharing"",""นครศรีธรรมราช!J558"")"),0)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IFERROR(__xludf.DUMMYFUNCTION("IMPORTRANGE(""https://docs.google.com/spreadsheets/d/1IYY_tgx_IHuhSq3AJ5eI5OnqOPBNLWSHKh2a30DoXe8/edit?usp=sharing"",""นครศรีธรรมราช!I560"")"),0)</f>
        <v>0</v>
      </c>
      <c r="J665" s="547">
        <f ca="1">IFERROR(__xludf.DUMMYFUNCTION("IMPORTRANGE(""https://docs.google.com/spreadsheets/d/1IYY_tgx_IHuhSq3AJ5eI5OnqOPBNLWSHKh2a30DoXe8/edit?usp=sharing"",""นครศรีธรรมราช!J560"")"),0)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IFERROR(__xludf.DUMMYFUNCTION("IMPORTRANGE(""https://docs.google.com/spreadsheets/d/1IYY_tgx_IHuhSq3AJ5eI5OnqOPBNLWSHKh2a30DoXe8/edit?usp=sharing"",""นครศรีธรรมราช!L560"")"),0)</f>
        <v>0</v>
      </c>
      <c r="M665" s="534"/>
      <c r="N665" s="549">
        <f ca="1">IFERROR(__xludf.DUMMYFUNCTION("IMPORTRANGE(""https://docs.google.com/spreadsheets/d/1IYY_tgx_IHuhSq3AJ5eI5OnqOPBNLWSHKh2a30DoXe8/edit?usp=sharing"",""นครศรีธรรมราช!M560"")"),0)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IFERROR(__xludf.DUMMYFUNCTION("IMPORTRANGE(""https://docs.google.com/spreadsheets/d/1IYY_tgx_IHuhSq3AJ5eI5OnqOPBNLWSHKh2a30DoXe8/edit?usp=sharing"",""นครศรีธรรมราช!J561"")"),0)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IFERROR(__xludf.DUMMYFUNCTION("IMPORTRANGE(""https://docs.google.com/spreadsheets/d/1IYY_tgx_IHuhSq3AJ5eI5OnqOPBNLWSHKh2a30DoXe8/edit?usp=sharing"",""นครศรีธรรมราช!J562"")"),0)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IFERROR(__xludf.DUMMYFUNCTION("IMPORTRANGE(""https://docs.google.com/spreadsheets/d/1IYY_tgx_IHuhSq3AJ5eI5OnqOPBNLWSHKh2a30DoXe8/edit?usp=sharing"",""นครศรีธรรมราช!I563"")"),0)</f>
        <v>0</v>
      </c>
      <c r="J668" s="547">
        <f ca="1">IFERROR(__xludf.DUMMYFUNCTION("IMPORTRANGE(""https://docs.google.com/spreadsheets/d/1IYY_tgx_IHuhSq3AJ5eI5OnqOPBNLWSHKh2a30DoXe8/edit?usp=sharing"",""นครศรีธรรมราช!J563"")"),0)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IFERROR(__xludf.DUMMYFUNCTION("IMPORTRANGE(""https://docs.google.com/spreadsheets/d/1IYY_tgx_IHuhSq3AJ5eI5OnqOPBNLWSHKh2a30DoXe8/edit?usp=sharing"",""นครศรีธรรมราช!L563"")"),0)</f>
        <v>0</v>
      </c>
      <c r="M668" s="534"/>
      <c r="N668" s="549">
        <f ca="1">IFERROR(__xludf.DUMMYFUNCTION("IMPORTRANGE(""https://docs.google.com/spreadsheets/d/1IYY_tgx_IHuhSq3AJ5eI5OnqOPBNLWSHKh2a30DoXe8/edit?usp=sharing"",""นครศรีธรรมราช!M563"")"),0)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IFERROR(__xludf.DUMMYFUNCTION("IMPORTRANGE(""https://docs.google.com/spreadsheets/d/1IYY_tgx_IHuhSq3AJ5eI5OnqOPBNLWSHKh2a30DoXe8/edit?usp=sharing"",""นครศรีธรรมราช!J564"")"),0)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IFERROR(__xludf.DUMMYFUNCTION("IMPORTRANGE(""https://docs.google.com/spreadsheets/d/1IYY_tgx_IHuhSq3AJ5eI5OnqOPBNLWSHKh2a30DoXe8/edit?usp=sharing"",""นครศรีธรรมราช!J565"")"),0)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IFERROR(__xludf.DUMMYFUNCTION("IMPORTRANGE(""https://docs.google.com/spreadsheets/d/1IYY_tgx_IHuhSq3AJ5eI5OnqOPBNLWSHKh2a30DoXe8/edit?usp=sharing"",""นครศรีธรรมราช!I566"")"),0)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IFERROR(__xludf.DUMMYFUNCTION("IMPORTRANGE(""https://docs.google.com/spreadsheets/d/1IYY_tgx_IHuhSq3AJ5eI5OnqOPBNLWSHKh2a30DoXe8/edit?usp=sharing"",""นครศรีธรรมราช!L566"")"),0)</f>
        <v>0</v>
      </c>
      <c r="M671" s="534"/>
      <c r="N671" s="549">
        <f ca="1">IFERROR(__xludf.DUMMYFUNCTION("IMPORTRANGE(""https://docs.google.com/spreadsheets/d/1IYY_tgx_IHuhSq3AJ5eI5OnqOPBNLWSHKh2a30DoXe8/edit?usp=sharing"",""นครศรีธรรมราช!M566"")"),0)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IFERROR(__xludf.DUMMYFUNCTION("IMPORTRANGE(""https://docs.google.com/spreadsheets/d/1IYY_tgx_IHuhSq3AJ5eI5OnqOPBNLWSHKh2a30DoXe8/edit?usp=sharing"",""นครศรีธรรมราช!J567"")"),0)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IFERROR(__xludf.DUMMYFUNCTION("IMPORTRANGE(""https://docs.google.com/spreadsheets/d/1IYY_tgx_IHuhSq3AJ5eI5OnqOPBNLWSHKh2a30DoXe8/edit?usp=sharing"",""นครศรีธรรมราช!J568"")"),0)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IFERROR(__xludf.DUMMYFUNCTION("IMPORTRANGE(""https://docs.google.com/spreadsheets/d/1IYY_tgx_IHuhSq3AJ5eI5OnqOPBNLWSHKh2a30DoXe8/edit?usp=sharing"",""นครศรีธรรมราช!J569"")"),0)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IFERROR(__xludf.DUMMYFUNCTION("IMPORTRANGE(""https://docs.google.com/spreadsheets/d/1IYY_tgx_IHuhSq3AJ5eI5OnqOPBNLWSHKh2a30DoXe8/edit?usp=sharing"",""นครศรีธรรมราช!J570"")"),0)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IFERROR(__xludf.DUMMYFUNCTION("IMPORTRANGE(""https://docs.google.com/spreadsheets/d/1IYY_tgx_IHuhSq3AJ5eI5OnqOPBNLWSHKh2a30DoXe8/edit?usp=sharing"",""นครศรีธรรมราช!J571"")"),0)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IFERROR(__xludf.DUMMYFUNCTION("IMPORTRANGE(""https://docs.google.com/spreadsheets/d/1IYY_tgx_IHuhSq3AJ5eI5OnqOPBNLWSHKh2a30DoXe8/edit?usp=sharing"",""นครศรีธรรมราช!J572"")"),0)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4152053</v>
      </c>
      <c r="M8" s="23">
        <f t="shared" ca="1" si="0"/>
        <v>2765106</v>
      </c>
      <c r="N8" s="23">
        <f t="shared" ca="1" si="0"/>
        <v>3887994.04</v>
      </c>
      <c r="O8" s="22">
        <f t="shared" ref="O8:O16" ca="1" si="1">IF(L8&gt;0,N8*100/L8,0)</f>
        <v>93.640279639975688</v>
      </c>
      <c r="P8" s="22">
        <f t="shared" ref="P8:P16" ca="1" si="2">IF(M8&gt;0,N8*100/M8,0)</f>
        <v>140.60922221426594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4152053</v>
      </c>
      <c r="M10" s="30">
        <f t="shared" ca="1" si="4"/>
        <v>2765106</v>
      </c>
      <c r="N10" s="30">
        <f t="shared" ca="1" si="4"/>
        <v>3887994.04</v>
      </c>
      <c r="O10" s="29">
        <f t="shared" ca="1" si="1"/>
        <v>93.640279639975688</v>
      </c>
      <c r="P10" s="29">
        <f t="shared" ca="1" si="2"/>
        <v>140.60922221426594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2297653</v>
      </c>
      <c r="M12" s="38">
        <f t="shared" ca="1" si="6"/>
        <v>1814706</v>
      </c>
      <c r="N12" s="38">
        <f t="shared" ca="1" si="6"/>
        <v>2033594.0399999998</v>
      </c>
      <c r="O12" s="38">
        <f t="shared" ca="1" si="1"/>
        <v>88.507448252629956</v>
      </c>
      <c r="P12" s="38">
        <f t="shared" ca="1" si="2"/>
        <v>112.06190093601937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1368300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929353</v>
      </c>
      <c r="M14" s="38">
        <f t="shared" si="8"/>
        <v>0</v>
      </c>
      <c r="N14" s="38">
        <f t="shared" ca="1" si="8"/>
        <v>608131.44999999995</v>
      </c>
      <c r="O14" s="41">
        <f t="shared" ca="1" si="1"/>
        <v>65.436002251028398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1854400</v>
      </c>
      <c r="M16" s="38">
        <f t="shared" ca="1" si="10"/>
        <v>950400</v>
      </c>
      <c r="N16" s="38">
        <f t="shared" ca="1" si="10"/>
        <v>1854400</v>
      </c>
      <c r="O16" s="50">
        <f t="shared" ca="1" si="1"/>
        <v>100</v>
      </c>
      <c r="P16" s="50">
        <f t="shared" ca="1" si="2"/>
        <v>195.11784511784512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2597545</v>
      </c>
      <c r="M18" s="23">
        <f t="shared" ca="1" si="11"/>
        <v>2765106</v>
      </c>
      <c r="N18" s="23">
        <f t="shared" ca="1" si="11"/>
        <v>2375862.59</v>
      </c>
      <c r="O18" s="22">
        <f t="shared" ref="O18:O20" ca="1" si="12">IF(L18&gt;0,N18*100/L18,0)</f>
        <v>91.465695108265692</v>
      </c>
      <c r="P18" s="22">
        <f t="shared" ref="P18:P26" ca="1" si="13">IF(M18&gt;0,N18*100/M18,0)</f>
        <v>85.923020310975417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2597545</v>
      </c>
      <c r="M20" s="30">
        <f t="shared" ca="1" si="15"/>
        <v>2765106</v>
      </c>
      <c r="N20" s="30">
        <f t="shared" ca="1" si="15"/>
        <v>2375862.59</v>
      </c>
      <c r="O20" s="29">
        <f t="shared" ca="1" si="12"/>
        <v>91.465695108265692</v>
      </c>
      <c r="P20" s="29">
        <f t="shared" ca="1" si="13"/>
        <v>85.923020310975417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1647145</v>
      </c>
      <c r="M22" s="42">
        <f t="shared" ca="1" si="18"/>
        <v>1814706</v>
      </c>
      <c r="N22" s="41">
        <f t="shared" ca="1" si="18"/>
        <v>1425462.5899999999</v>
      </c>
      <c r="O22" s="41">
        <f t="shared" ca="1" si="17"/>
        <v>86.541414993822642</v>
      </c>
      <c r="P22" s="41">
        <f t="shared" ca="1" si="13"/>
        <v>78.550607646638085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1368300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278845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1554508</v>
      </c>
      <c r="M28" s="23">
        <f t="shared" si="23"/>
        <v>0</v>
      </c>
      <c r="N28" s="23">
        <f t="shared" ca="1" si="23"/>
        <v>1512131.45</v>
      </c>
      <c r="O28" s="22">
        <f t="shared" ref="O28:O30" ca="1" si="24">IF(L28&gt;0,N28*100/L28,0)</f>
        <v>97.273957419324958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1554508</v>
      </c>
      <c r="M30" s="30">
        <f t="shared" si="27"/>
        <v>0</v>
      </c>
      <c r="N30" s="30">
        <f t="shared" ca="1" si="27"/>
        <v>1512131.45</v>
      </c>
      <c r="O30" s="29">
        <f t="shared" ca="1" si="24"/>
        <v>97.273957419324958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L352+L383+L404+L437+L457+L535+L553+L566+L582+L599-904000</f>
        <v>650508</v>
      </c>
      <c r="M32" s="41">
        <f>M352+M383+M404+M437+M457+M535+M553+M566+M582+M599</f>
        <v>0</v>
      </c>
      <c r="N32" s="41">
        <f ca="1">(N352+N383+N404+N437+N457+N535+N553+N566+N582+N599)-904000</f>
        <v>608131.44999999995</v>
      </c>
      <c r="O32" s="41">
        <f t="shared" ca="1" si="29"/>
        <v>93.48562200618592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650508</v>
      </c>
      <c r="M34" s="41">
        <f t="shared" si="31"/>
        <v>0</v>
      </c>
      <c r="N34" s="41">
        <f t="shared" ca="1" si="31"/>
        <v>608131.44999999995</v>
      </c>
      <c r="O34" s="41">
        <f t="shared" ca="1" si="29"/>
        <v>93.48562200618592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904000</v>
      </c>
      <c r="M36" s="52">
        <v>0</v>
      </c>
      <c r="N36" s="52">
        <v>904000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2597545</v>
      </c>
      <c r="M37" s="55">
        <f t="shared" ca="1" si="32"/>
        <v>2765106</v>
      </c>
      <c r="N37" s="55">
        <f t="shared" ca="1" si="32"/>
        <v>2375862.59</v>
      </c>
      <c r="O37" s="56">
        <f t="shared" ca="1" si="29"/>
        <v>91.465695108265692</v>
      </c>
      <c r="P37" s="56">
        <f t="shared" ca="1" si="25"/>
        <v>85.923020310975417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3">L42+L43</f>
        <v>1505900</v>
      </c>
      <c r="M41" s="79">
        <f t="shared" ca="1" si="33"/>
        <v>1505900</v>
      </c>
      <c r="N41" s="79">
        <f t="shared" ca="1" si="33"/>
        <v>1399138.99</v>
      </c>
      <c r="O41" s="78">
        <f t="shared" ref="O41:O43" ca="1" si="34">IF(L41&gt;0,N41*100/L41,0)</f>
        <v>92.910484759944225</v>
      </c>
      <c r="P41" s="78">
        <f t="shared" ref="P41:P43" ca="1" si="35">IF(M41&gt;0,N41*100/M41,0)</f>
        <v>92.910484759944225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1505900</v>
      </c>
      <c r="M43" s="79">
        <f t="shared" ca="1" si="37"/>
        <v>1505900</v>
      </c>
      <c r="N43" s="79">
        <f t="shared" ca="1" si="37"/>
        <v>1399138.99</v>
      </c>
      <c r="O43" s="78">
        <f t="shared" ca="1" si="34"/>
        <v>92.910484759944225</v>
      </c>
      <c r="P43" s="78">
        <f t="shared" ca="1" si="35"/>
        <v>92.910484759944225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IFERROR(__xludf.DUMMYFUNCTION("IMPORTRANGE(""https://docs.google.com/spreadsheets/d/1Yj_ptqi66GCucihVvJfMjLAmec39IyEx_6qawtMGysU/edit?usp=sharing"",""สบก!Q85"")"),555500)</f>
        <v>555500</v>
      </c>
      <c r="N45" s="91">
        <f ca="1">IFERROR(__xludf.DUMMYFUNCTION("IMPORTRANGE(""https://docs.google.com/spreadsheets/d/1Yj_ptqi66GCucihVvJfMjLAmec39IyEx_6qawtMGysU/edit?usp=sharing"",""สบก!R85"")"),448738.99)</f>
        <v>448738.99</v>
      </c>
      <c r="O45" s="92">
        <f ca="1">IF(L45&gt;0,N45*100/L45,0)</f>
        <v>80.781096309630968</v>
      </c>
      <c r="P45" s="92">
        <f ca="1">IF(M45&gt;0,N45*100/M45,0)</f>
        <v>80.781096309630968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8">L54+L55</f>
        <v>306000</v>
      </c>
      <c r="M53" s="125">
        <f t="shared" ca="1" si="38"/>
        <v>414171</v>
      </c>
      <c r="N53" s="125">
        <f t="shared" ca="1" si="38"/>
        <v>346993</v>
      </c>
      <c r="O53" s="124">
        <f t="shared" ref="O53:O55" ca="1" si="39">IF(L53&gt;0,N53*100/L53,0)</f>
        <v>113.39640522875817</v>
      </c>
      <c r="P53" s="124">
        <f t="shared" ref="P53:P55" ca="1" si="40">IF(M53&gt;0,N53*100/M53,0)</f>
        <v>83.780129463434179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306000</v>
      </c>
      <c r="M55" s="125">
        <f t="shared" ca="1" si="42"/>
        <v>414171</v>
      </c>
      <c r="N55" s="125">
        <f t="shared" ca="1" si="42"/>
        <v>346993</v>
      </c>
      <c r="O55" s="124">
        <f t="shared" ca="1" si="39"/>
        <v>113.39640522875817</v>
      </c>
      <c r="P55" s="124">
        <f t="shared" ca="1" si="40"/>
        <v>83.780129463434179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306000</v>
      </c>
      <c r="M57" s="91">
        <f ca="1">IFERROR(__xludf.DUMMYFUNCTION("IMPORTRANGE(""https://docs.google.com/spreadsheets/d/1Yj_ptqi66GCucihVvJfMjLAmec39IyEx_6qawtMGysU/edit?usp=sharing"",""สบก!Z85"")"),414171)</f>
        <v>414171</v>
      </c>
      <c r="N57" s="91">
        <f ca="1">IFERROR(__xludf.DUMMYFUNCTION("IMPORTRANGE(""https://docs.google.com/spreadsheets/d/1Yj_ptqi66GCucihVvJfMjLAmec39IyEx_6qawtMGysU/edit?usp=sharing"",""สบก!AA85"")"),346993)</f>
        <v>346993</v>
      </c>
      <c r="O57" s="92">
        <f ca="1">IF(L57&gt;0,N57*100/L57,0)</f>
        <v>113.39640522875817</v>
      </c>
      <c r="P57" s="92">
        <f ca="1">IF(M57&gt;0,N57*100/M57,0)</f>
        <v>83.780129463434179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IFERROR(__xludf.DUMMYFUNCTION("IMPORTRANGE(""https://docs.google.com/spreadsheets/d/1Yj_ptqi66GCucihVvJfMjLAmec39IyEx_6qawtMGysU/edit?usp=sharing"",""สบก!V85"")"),306000)</f>
        <v>306000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3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3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4">L67+L68</f>
        <v>0</v>
      </c>
      <c r="M66" s="156">
        <f t="shared" ca="1" si="44"/>
        <v>0</v>
      </c>
      <c r="N66" s="156">
        <f t="shared" ca="1" si="44"/>
        <v>0</v>
      </c>
      <c r="O66" s="155">
        <f t="shared" ref="O66:O68" ca="1" si="45">IF(L66&gt;0,N66*100/L66,0)</f>
        <v>0</v>
      </c>
      <c r="P66" s="155">
        <f t="shared" ref="P66:P68" ca="1" si="46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0</v>
      </c>
      <c r="M68" s="161">
        <f t="shared" ca="1" si="48"/>
        <v>0</v>
      </c>
      <c r="N68" s="161">
        <f t="shared" ca="1" si="48"/>
        <v>0</v>
      </c>
      <c r="O68" s="160">
        <f t="shared" ca="1" si="45"/>
        <v>0</v>
      </c>
      <c r="P68" s="160">
        <f t="shared" ca="1" si="46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IFERROR(__xludf.DUMMYFUNCTION("IMPORTRANGE(""https://docs.google.com/spreadsheets/d/1Yj_ptqi66GCucihVvJfMjLAmec39IyEx_6qawtMGysU/edit?usp=sharing"",""สบก!AI85"")"),0)</f>
        <v>0</v>
      </c>
      <c r="N70" s="174">
        <f ca="1">IFERROR(__xludf.DUMMYFUNCTION("IMPORTRANGE(""https://docs.google.com/spreadsheets/d/1Yj_ptqi66GCucihVvJfMjLAmec39IyEx_6qawtMGysU/edit?usp=sharing"",""สบก!AJ85"")"),0)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IFERROR(__xludf.DUMMYFUNCTION("IMPORTRANGE(""https://docs.google.com/spreadsheets/d/1Yj_ptqi66GCucihVvJfMjLAmec39IyEx_6qawtMGysU/edit?usp=sharing"",""สบก!AE85"")"),0)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IFERROR(__xludf.DUMMYFUNCTION("IMPORTRANGE(""https://docs.google.com/spreadsheets/d/1Yj_ptqi66GCucihVvJfMjLAmec39IyEx_6qawtMGysU/edit?usp=sharing"",""สบก!AF85"")"),0)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IFERROR(__xludf.DUMMYFUNCTION("IMPORTRANGE(""https://docs.google.com/spreadsheets/d/1IYY_tgx_IHuhSq3AJ5eI5OnqOPBNLWSHKh2a30DoXe8/edit?usp=sharing"",""นราธิวาส!J16"")"),0)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IFERROR(__xludf.DUMMYFUNCTION("IMPORTRANGE(""https://docs.google.com/spreadsheets/d/1IYY_tgx_IHuhSq3AJ5eI5OnqOPBNLWSHKh2a30DoXe8/edit?usp=sharing"",""นราธิวาส!J17"")"),0)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IFERROR(__xludf.DUMMYFUNCTION("IMPORTRANGE(""https://docs.google.com/spreadsheets/d/1IYY_tgx_IHuhSq3AJ5eI5OnqOPBNLWSHKh2a30DoXe8/edit?usp=sharing"",""นราธิวาส!J18"")"),0)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IFERROR(__xludf.DUMMYFUNCTION("IMPORTRANGE(""https://docs.google.com/spreadsheets/d/1IYY_tgx_IHuhSq3AJ5eI5OnqOPBNLWSHKh2a30DoXe8/edit?usp=sharing"",""นราธิวาส!J19"")"),0)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IFERROR(__xludf.DUMMYFUNCTION("IMPORTRANGE(""https://docs.google.com/spreadsheets/d/1IYY_tgx_IHuhSq3AJ5eI5OnqOPBNLWSHKh2a30DoXe8/edit?usp=sharing"",""นราธิวาส!I20"")"),0)</f>
        <v>0</v>
      </c>
      <c r="J80" s="207">
        <f ca="1">IFERROR(__xludf.DUMMYFUNCTION("IMPORTRANGE(""https://docs.google.com/spreadsheets/d/1IYY_tgx_IHuhSq3AJ5eI5OnqOPBNLWSHKh2a30DoXe8/edit?usp=sharing"",""นราธิวาส!J20"")"),0)</f>
        <v>0</v>
      </c>
      <c r="K80" s="208">
        <f t="shared" ref="K80:K88" ca="1" si="49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IFERROR(__xludf.DUMMYFUNCTION("IMPORTRANGE(""https://docs.google.com/spreadsheets/d/1IYY_tgx_IHuhSq3AJ5eI5OnqOPBNLWSHKh2a30DoXe8/edit?usp=sharing"",""นราธิวาส!I21"")"),0)</f>
        <v>0</v>
      </c>
      <c r="J81" s="207">
        <f ca="1">IFERROR(__xludf.DUMMYFUNCTION("IMPORTRANGE(""https://docs.google.com/spreadsheets/d/1IYY_tgx_IHuhSq3AJ5eI5OnqOPBNLWSHKh2a30DoXe8/edit?usp=sharing"",""นราธิวาส!J21"")"),0)</f>
        <v>0</v>
      </c>
      <c r="K81" s="208">
        <f t="shared" ca="1" si="49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IFERROR(__xludf.DUMMYFUNCTION("IMPORTRANGE(""https://docs.google.com/spreadsheets/d/1IYY_tgx_IHuhSq3AJ5eI5OnqOPBNLWSHKh2a30DoXe8/edit?usp=sharing"",""นราธิวาส!I22"")"),0)</f>
        <v>0</v>
      </c>
      <c r="J82" s="210">
        <f ca="1">IFERROR(__xludf.DUMMYFUNCTION("IMPORTRANGE(""https://docs.google.com/spreadsheets/d/1IYY_tgx_IHuhSq3AJ5eI5OnqOPBNLWSHKh2a30DoXe8/edit?usp=sharing"",""นราธิวาส!J22"")"),0)</f>
        <v>0</v>
      </c>
      <c r="K82" s="167">
        <f t="shared" ca="1" si="49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IFERROR(__xludf.DUMMYFUNCTION("IMPORTRANGE(""https://docs.google.com/spreadsheets/d/1IYY_tgx_IHuhSq3AJ5eI5OnqOPBNLWSHKh2a30DoXe8/edit?usp=sharing"",""นราธิวาส!I23"")"),0)</f>
        <v>0</v>
      </c>
      <c r="J83" s="210">
        <f ca="1">IFERROR(__xludf.DUMMYFUNCTION("IMPORTRANGE(""https://docs.google.com/spreadsheets/d/1IYY_tgx_IHuhSq3AJ5eI5OnqOPBNLWSHKh2a30DoXe8/edit?usp=sharing"",""นราธิวาส!J23"")"),0)</f>
        <v>0</v>
      </c>
      <c r="K83" s="167">
        <f t="shared" ca="1" si="49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IFERROR(__xludf.DUMMYFUNCTION("IMPORTRANGE(""https://docs.google.com/spreadsheets/d/1IYY_tgx_IHuhSq3AJ5eI5OnqOPBNLWSHKh2a30DoXe8/edit?usp=sharing"",""นราธิวาส!I24"")"),0)</f>
        <v>0</v>
      </c>
      <c r="J84" s="195">
        <f ca="1">IFERROR(__xludf.DUMMYFUNCTION("IMPORTRANGE(""https://docs.google.com/spreadsheets/d/1IYY_tgx_IHuhSq3AJ5eI5OnqOPBNLWSHKh2a30DoXe8/edit?usp=sharing"",""นราธิวาส!J24"")"),0)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IFERROR(__xludf.DUMMYFUNCTION("IMPORTRANGE(""https://docs.google.com/spreadsheets/d/1IYY_tgx_IHuhSq3AJ5eI5OnqOPBNLWSHKh2a30DoXe8/edit?usp=sharing"",""นราธิวาส!I25"")"),0)</f>
        <v>0</v>
      </c>
      <c r="J85" s="195">
        <f ca="1">IFERROR(__xludf.DUMMYFUNCTION("IMPORTRANGE(""https://docs.google.com/spreadsheets/d/1IYY_tgx_IHuhSq3AJ5eI5OnqOPBNLWSHKh2a30DoXe8/edit?usp=sharing"",""นราธิวาส!J25"")"),0)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IFERROR(__xludf.DUMMYFUNCTION("IMPORTRANGE(""https://docs.google.com/spreadsheets/d/1IYY_tgx_IHuhSq3AJ5eI5OnqOPBNLWSHKh2a30DoXe8/edit?usp=sharing"",""นราธิวาส!I26"")"),0)</f>
        <v>0</v>
      </c>
      <c r="J86" s="210">
        <f ca="1">IFERROR(__xludf.DUMMYFUNCTION("IMPORTRANGE(""https://docs.google.com/spreadsheets/d/1IYY_tgx_IHuhSq3AJ5eI5OnqOPBNLWSHKh2a30DoXe8/edit?usp=sharing"",""นราธิวาส!J26"")"),0)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IFERROR(__xludf.DUMMYFUNCTION("IMPORTRANGE(""https://docs.google.com/spreadsheets/d/1IYY_tgx_IHuhSq3AJ5eI5OnqOPBNLWSHKh2a30DoXe8/edit?usp=sharing"",""นราธิวาส!I27"")"),0)</f>
        <v>0</v>
      </c>
      <c r="J87" s="210">
        <f ca="1">IFERROR(__xludf.DUMMYFUNCTION("IMPORTRANGE(""https://docs.google.com/spreadsheets/d/1IYY_tgx_IHuhSq3AJ5eI5OnqOPBNLWSHKh2a30DoXe8/edit?usp=sharing"",""นราธิวาส!J27"")"),0)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IFERROR(__xludf.DUMMYFUNCTION("IMPORTRANGE(""https://docs.google.com/spreadsheets/d/1IYY_tgx_IHuhSq3AJ5eI5OnqOPBNLWSHKh2a30DoXe8/edit?usp=sharing"",""นราธิวาส!I28"")"),0)</f>
        <v>0</v>
      </c>
      <c r="J88" s="210">
        <f ca="1">IFERROR(__xludf.DUMMYFUNCTION("IMPORTRANGE(""https://docs.google.com/spreadsheets/d/1IYY_tgx_IHuhSq3AJ5eI5OnqOPBNLWSHKh2a30DoXe8/edit?usp=sharing"",""นราธิวาส!J28"")"),0)</f>
        <v>0</v>
      </c>
      <c r="K88" s="167">
        <f t="shared" ca="1" si="49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IFERROR(__xludf.DUMMYFUNCTION("IMPORTRANGE(""https://docs.google.com/spreadsheets/d/1IYY_tgx_IHuhSq3AJ5eI5OnqOPBNLWSHKh2a30DoXe8/edit?usp=sharing"",""นราธิวาส!J29"")"),0)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IFERROR(__xludf.DUMMYFUNCTION("IMPORTRANGE(""https://docs.google.com/spreadsheets/d/1IYY_tgx_IHuhSq3AJ5eI5OnqOPBNLWSHKh2a30DoXe8/edit?usp=sharing"",""นราธิวาส!J30"")"),0)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0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0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1">L95+L96</f>
        <v>0</v>
      </c>
      <c r="M94" s="156">
        <f t="shared" ca="1" si="51"/>
        <v>0</v>
      </c>
      <c r="N94" s="156">
        <f t="shared" ca="1" si="51"/>
        <v>0</v>
      </c>
      <c r="O94" s="155">
        <f t="shared" ref="O94:O96" ca="1" si="52">IF(L94&gt;0,N94*100/L94,0)</f>
        <v>0</v>
      </c>
      <c r="P94" s="155">
        <f t="shared" ref="P94:P96" ca="1" si="53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0</v>
      </c>
      <c r="M96" s="161">
        <f t="shared" ca="1" si="55"/>
        <v>0</v>
      </c>
      <c r="N96" s="161">
        <f t="shared" ca="1" si="55"/>
        <v>0</v>
      </c>
      <c r="O96" s="160">
        <f t="shared" ca="1" si="52"/>
        <v>0</v>
      </c>
      <c r="P96" s="160">
        <f t="shared" ca="1" si="53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IFERROR(__xludf.DUMMYFUNCTION("IMPORTRANGE(""https://docs.google.com/spreadsheets/d/1Yj_ptqi66GCucihVvJfMjLAmec39IyEx_6qawtMGysU/edit?usp=sharing"",""สบก!AR85"")"),0)</f>
        <v>0</v>
      </c>
      <c r="N98" s="174">
        <f ca="1">IFERROR(__xludf.DUMMYFUNCTION("IMPORTRANGE(""https://docs.google.com/spreadsheets/d/1Yj_ptqi66GCucihVvJfMjLAmec39IyEx_6qawtMGysU/edit?usp=sharing"",""สบก!AS85"")"),0)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IFERROR(__xludf.DUMMYFUNCTION("IMPORTRANGE(""https://docs.google.com/spreadsheets/d/1Yj_ptqi66GCucihVvJfMjLAmec39IyEx_6qawtMGysU/edit?usp=sharing"",""สบก!AN85"")"),0)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IFERROR(__xludf.DUMMYFUNCTION("IMPORTRANGE(""https://docs.google.com/spreadsheets/d/1Yj_ptqi66GCucihVvJfMjLAmec39IyEx_6qawtMGysU/edit?usp=sharing"",""สบก!AO85"")"),0)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IFERROR(__xludf.DUMMYFUNCTION("IMPORTRANGE(""https://docs.google.com/spreadsheets/d/1IYY_tgx_IHuhSq3AJ5eI5OnqOPBNLWSHKh2a30DoXe8/edit?usp=sharing"",""นราธิวาส!J39"")"),0)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IFERROR(__xludf.DUMMYFUNCTION("IMPORTRANGE(""https://docs.google.com/spreadsheets/d/1IYY_tgx_IHuhSq3AJ5eI5OnqOPBNLWSHKh2a30DoXe8/edit?usp=sharing"",""นราธิวาส!J40"")"),0)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IFERROR(__xludf.DUMMYFUNCTION("IMPORTRANGE(""https://docs.google.com/spreadsheets/d/1IYY_tgx_IHuhSq3AJ5eI5OnqOPBNLWSHKh2a30DoXe8/edit?usp=sharing"",""นราธิวาส!J41"")"),0)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IFERROR(__xludf.DUMMYFUNCTION("IMPORTRANGE(""https://docs.google.com/spreadsheets/d/1IYY_tgx_IHuhSq3AJ5eI5OnqOPBNLWSHKh2a30DoXe8/edit?usp=sharing"",""นราธิวาส!J42"")"),0)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IFERROR(__xludf.DUMMYFUNCTION("IMPORTRANGE(""https://docs.google.com/spreadsheets/d/1IYY_tgx_IHuhSq3AJ5eI5OnqOPBNLWSHKh2a30DoXe8/edit?usp=sharing"",""นราธิวาส!I43"")"),0)</f>
        <v>0</v>
      </c>
      <c r="J108" s="210">
        <f ca="1">IFERROR(__xludf.DUMMYFUNCTION("IMPORTRANGE(""https://docs.google.com/spreadsheets/d/1IYY_tgx_IHuhSq3AJ5eI5OnqOPBNLWSHKh2a30DoXe8/edit?usp=sharing"",""นราธิวาส!J43"")"),0)</f>
        <v>0</v>
      </c>
      <c r="K108" s="230">
        <f t="shared" ref="K108:K113" ca="1" si="56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IFERROR(__xludf.DUMMYFUNCTION("IMPORTRANGE(""https://docs.google.com/spreadsheets/d/1IYY_tgx_IHuhSq3AJ5eI5OnqOPBNLWSHKh2a30DoXe8/edit?usp=sharing"",""นราธิวาส!I44"")"),0)</f>
        <v>0</v>
      </c>
      <c r="J109" s="210">
        <f ca="1">IFERROR(__xludf.DUMMYFUNCTION("IMPORTRANGE(""https://docs.google.com/spreadsheets/d/1IYY_tgx_IHuhSq3AJ5eI5OnqOPBNLWSHKh2a30DoXe8/edit?usp=sharing"",""นราธิวาส!J44"")"),0)</f>
        <v>0</v>
      </c>
      <c r="K109" s="230">
        <f t="shared" ca="1" si="56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IFERROR(__xludf.DUMMYFUNCTION("IMPORTRANGE(""https://docs.google.com/spreadsheets/d/1IYY_tgx_IHuhSq3AJ5eI5OnqOPBNLWSHKh2a30DoXe8/edit?usp=sharing"",""นราธิวาส!I45"")"),0)</f>
        <v>0</v>
      </c>
      <c r="J110" s="210">
        <f ca="1">IFERROR(__xludf.DUMMYFUNCTION("IMPORTRANGE(""https://docs.google.com/spreadsheets/d/1IYY_tgx_IHuhSq3AJ5eI5OnqOPBNLWSHKh2a30DoXe8/edit?usp=sharing"",""นราธิวาส!J45"")"),0)</f>
        <v>0</v>
      </c>
      <c r="K110" s="230">
        <f t="shared" ca="1" si="56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IFERROR(__xludf.DUMMYFUNCTION("IMPORTRANGE(""https://docs.google.com/spreadsheets/d/1IYY_tgx_IHuhSq3AJ5eI5OnqOPBNLWSHKh2a30DoXe8/edit?usp=sharing"",""นราธิวาส!I46"")"),0)</f>
        <v>0</v>
      </c>
      <c r="J111" s="210">
        <f ca="1">IFERROR(__xludf.DUMMYFUNCTION("IMPORTRANGE(""https://docs.google.com/spreadsheets/d/1IYY_tgx_IHuhSq3AJ5eI5OnqOPBNLWSHKh2a30DoXe8/edit?usp=sharing"",""นราธิวาส!J46"")"),0)</f>
        <v>0</v>
      </c>
      <c r="K111" s="230">
        <f t="shared" ca="1" si="56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IFERROR(__xludf.DUMMYFUNCTION("IMPORTRANGE(""https://docs.google.com/spreadsheets/d/1IYY_tgx_IHuhSq3AJ5eI5OnqOPBNLWSHKh2a30DoXe8/edit?usp=sharing"",""นราธิวาส!I47"")"),0)</f>
        <v>0</v>
      </c>
      <c r="J112" s="210">
        <f ca="1">IFERROR(__xludf.DUMMYFUNCTION("IMPORTRANGE(""https://docs.google.com/spreadsheets/d/1IYY_tgx_IHuhSq3AJ5eI5OnqOPBNLWSHKh2a30DoXe8/edit?usp=sharing"",""นราธิวาส!J47"")"),0)</f>
        <v>0</v>
      </c>
      <c r="K112" s="230">
        <f t="shared" ca="1" si="56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IFERROR(__xludf.DUMMYFUNCTION("IMPORTRANGE(""https://docs.google.com/spreadsheets/d/1IYY_tgx_IHuhSq3AJ5eI5OnqOPBNLWSHKh2a30DoXe8/edit?usp=sharing"",""นราธิวาส!I48"")"),0)</f>
        <v>0</v>
      </c>
      <c r="J113" s="210">
        <f ca="1">IFERROR(__xludf.DUMMYFUNCTION("IMPORTRANGE(""https://docs.google.com/spreadsheets/d/1IYY_tgx_IHuhSq3AJ5eI5OnqOPBNLWSHKh2a30DoXe8/edit?usp=sharing"",""นราธิวาส!J48"")"),0)</f>
        <v>0</v>
      </c>
      <c r="K113" s="230">
        <f t="shared" ca="1" si="56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IFERROR(__xludf.DUMMYFUNCTION("IMPORTRANGE(""https://docs.google.com/spreadsheets/d/1IYY_tgx_IHuhSq3AJ5eI5OnqOPBNLWSHKh2a30DoXe8/edit?usp=sharing"",""นราธิวาส!J49"")"),0)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IFERROR(__xludf.DUMMYFUNCTION("IMPORTRANGE(""https://docs.google.com/spreadsheets/d/1IYY_tgx_IHuhSq3AJ5eI5OnqOPBNLWSHKh2a30DoXe8/edit?usp=sharing"",""นราธิวาส!J50"")"),0)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IFERROR(__xludf.DUMMYFUNCTION("IMPORTRANGE(""https://docs.google.com/spreadsheets/d/1Yj_ptqi66GCucihVvJfMjLAmec39IyEx_6qawtMGysU/edit?usp=sharing"",""สบก!BA85"")"),0)</f>
        <v>0</v>
      </c>
      <c r="N122" s="174">
        <f ca="1">IFERROR(__xludf.DUMMYFUNCTION("IMPORTRANGE(""https://docs.google.com/spreadsheets/d/1Yj_ptqi66GCucihVvJfMjLAmec39IyEx_6qawtMGysU/edit?usp=sharing"",""สบก!BB85"")"),0)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IFERROR(__xludf.DUMMYFUNCTION("IMPORTRANGE(""https://docs.google.com/spreadsheets/d/1Yj_ptqi66GCucihVvJfMjLAmec39IyEx_6qawtMGysU/edit?usp=sharing"",""สบก!AW85"")"),0)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IFERROR(__xludf.DUMMYFUNCTION("IMPORTRANGE(""https://docs.google.com/spreadsheets/d/1Yj_ptqi66GCucihVvJfMjLAmec39IyEx_6qawtMGysU/edit?usp=sharing"",""สบก!AX85"")"),0)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IFERROR(__xludf.DUMMYFUNCTION("IMPORTRANGE(""https://docs.google.com/spreadsheets/d/1IYY_tgx_IHuhSq3AJ5eI5OnqOPBNLWSHKh2a30DoXe8/edit?usp=sharing"",""นราธิวาส!J58"")"),0)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IFERROR(__xludf.DUMMYFUNCTION("IMPORTRANGE(""https://docs.google.com/spreadsheets/d/1IYY_tgx_IHuhSq3AJ5eI5OnqOPBNLWSHKh2a30DoXe8/edit?usp=sharing"",""นราธิวาส!J59"")"),0)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IFERROR(__xludf.DUMMYFUNCTION("IMPORTRANGE(""https://docs.google.com/spreadsheets/d/1IYY_tgx_IHuhSq3AJ5eI5OnqOPBNLWSHKh2a30DoXe8/edit?usp=sharing"",""นราธิวาส!J60"")"),0)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IFERROR(__xludf.DUMMYFUNCTION("IMPORTRANGE(""https://docs.google.com/spreadsheets/d/1IYY_tgx_IHuhSq3AJ5eI5OnqOPBNLWSHKh2a30DoXe8/edit?usp=sharing"",""นราธิวาส!J61"")"),0)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IFERROR(__xludf.DUMMYFUNCTION("IMPORTRANGE(""https://docs.google.com/spreadsheets/d/1IYY_tgx_IHuhSq3AJ5eI5OnqOPBNLWSHKh2a30DoXe8/edit?usp=sharing"",""นราธิวาส!I62"")"),0)</f>
        <v>0</v>
      </c>
      <c r="J132" s="210">
        <f ca="1">IFERROR(__xludf.DUMMYFUNCTION("IMPORTRANGE(""https://docs.google.com/spreadsheets/d/1IYY_tgx_IHuhSq3AJ5eI5OnqOPBNLWSHKh2a30DoXe8/edit?usp=sharing"",""นราธิวาส!J62"")"),0)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IFERROR(__xludf.DUMMYFUNCTION("IMPORTRANGE(""https://docs.google.com/spreadsheets/d/1IYY_tgx_IHuhSq3AJ5eI5OnqOPBNLWSHKh2a30DoXe8/edit?usp=sharing"",""นราธิวาส!I63"")"),0)</f>
        <v>0</v>
      </c>
      <c r="J133" s="210">
        <f ca="1">IFERROR(__xludf.DUMMYFUNCTION("IMPORTRANGE(""https://docs.google.com/spreadsheets/d/1IYY_tgx_IHuhSq3AJ5eI5OnqOPBNLWSHKh2a30DoXe8/edit?usp=sharing"",""นราธิวาส!J63"")"),0)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IFERROR(__xludf.DUMMYFUNCTION("IMPORTRANGE(""https://docs.google.com/spreadsheets/d/1IYY_tgx_IHuhSq3AJ5eI5OnqOPBNLWSHKh2a30DoXe8/edit?usp=sharing"",""นราธิวาส!J64"")"),0)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IFERROR(__xludf.DUMMYFUNCTION("IMPORTRANGE(""https://docs.google.com/spreadsheets/d/1IYY_tgx_IHuhSq3AJ5eI5OnqOPBNLWSHKh2a30DoXe8/edit?usp=sharing"",""นราธิวาส!J65"")"),0)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IFERROR(__xludf.DUMMYFUNCTION("IMPORTRANGE(""https://docs.google.com/spreadsheets/d/1IYY_tgx_IHuhSq3AJ5eI5OnqOPBNLWSHKh2a30DoXe8/edit?usp=sharing"",""นราธิวาส!I68"")"),0)</f>
        <v>0</v>
      </c>
      <c r="J138" s="273">
        <f ca="1">IFERROR(__xludf.DUMMYFUNCTION("IMPORTRANGE(""https://docs.google.com/spreadsheets/d/1IYY_tgx_IHuhSq3AJ5eI5OnqOPBNLWSHKh2a30DoXe8/edit?usp=sharing"",""นราธิวาส!J68"")"),0)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3">L141+L142</f>
        <v>43000</v>
      </c>
      <c r="M140" s="156">
        <f t="shared" ca="1" si="63"/>
        <v>51000</v>
      </c>
      <c r="N140" s="156">
        <f t="shared" ca="1" si="63"/>
        <v>65300</v>
      </c>
      <c r="O140" s="155">
        <f t="shared" ref="O140:O142" ca="1" si="64">IF(L140&gt;0,N140*100/L140,0)</f>
        <v>151.86046511627907</v>
      </c>
      <c r="P140" s="155">
        <f t="shared" ref="P140:P142" ca="1" si="65">IF(M140&gt;0,N140*100/M140,0)</f>
        <v>128.0392156862745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43000</v>
      </c>
      <c r="M142" s="161">
        <f t="shared" ca="1" si="67"/>
        <v>51000</v>
      </c>
      <c r="N142" s="161">
        <f t="shared" ca="1" si="67"/>
        <v>65300</v>
      </c>
      <c r="O142" s="160">
        <f t="shared" ca="1" si="64"/>
        <v>151.86046511627907</v>
      </c>
      <c r="P142" s="160">
        <f t="shared" ca="1" si="65"/>
        <v>128.0392156862745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IFERROR(__xludf.DUMMYFUNCTION("IMPORTRANGE(""https://docs.google.com/spreadsheets/d/1Yj_ptqi66GCucihVvJfMjLAmec39IyEx_6qawtMGysU/edit?usp=sharing"",""สบก!BJ85"")"),51000)</f>
        <v>51000</v>
      </c>
      <c r="N144" s="174">
        <f ca="1">IFERROR(__xludf.DUMMYFUNCTION("IMPORTRANGE(""https://docs.google.com/spreadsheets/d/1Yj_ptqi66GCucihVvJfMjLAmec39IyEx_6qawtMGysU/edit?usp=sharing"",""สบก!BK85"")"),65300)</f>
        <v>65300</v>
      </c>
      <c r="O144" s="175">
        <f ca="1">IF(L144&gt;0,N144*100/L144,0)</f>
        <v>151.86046511627907</v>
      </c>
      <c r="P144" s="175">
        <f ca="1">IF(M144&gt;0,N144*100/M144,0)</f>
        <v>128.0392156862745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IFERROR(__xludf.DUMMYFUNCTION("IMPORTRANGE(""https://docs.google.com/spreadsheets/d/1Yj_ptqi66GCucihVvJfMjLAmec39IyEx_6qawtMGysU/edit?usp=sharing"",""สบก!BF85"")"),0)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IFERROR(__xludf.DUMMYFUNCTION("IMPORTRANGE(""https://docs.google.com/spreadsheets/d/1Yj_ptqi66GCucihVvJfMjLAmec39IyEx_6qawtMGysU/edit?usp=sharing"",""สบก!BG85"")"),43000)</f>
        <v>43000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IFERROR(__xludf.DUMMYFUNCTION("IMPORTRANGE(""https://docs.google.com/spreadsheets/d/1IYY_tgx_IHuhSq3AJ5eI5OnqOPBNLWSHKh2a30DoXe8/edit?usp=sharing"",""นราธิวาส!I74"")"),4)</f>
        <v>4</v>
      </c>
      <c r="J149" s="281">
        <f ca="1">IFERROR(__xludf.DUMMYFUNCTION("IMPORTRANGE(""https://docs.google.com/spreadsheets/d/1IYY_tgx_IHuhSq3AJ5eI5OnqOPBNLWSHKh2a30DoXe8/edit?usp=sharing"",""นราธิวาส!J74"")"),4)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IFERROR(__xludf.DUMMYFUNCTION("IMPORTRANGE(""https://docs.google.com/spreadsheets/d/1IYY_tgx_IHuhSq3AJ5eI5OnqOPBNLWSHKh2a30DoXe8/edit?usp=sharing"",""นราธิวาส!J79"")"),0)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IFERROR(__xludf.DUMMYFUNCTION("IMPORTRANGE(""https://docs.google.com/spreadsheets/d/1IYY_tgx_IHuhSq3AJ5eI5OnqOPBNLWSHKh2a30DoXe8/edit?usp=sharing"",""นราธิวาส!J80"")"),1)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IFERROR(__xludf.DUMMYFUNCTION("IMPORTRANGE(""https://docs.google.com/spreadsheets/d/1IYY_tgx_IHuhSq3AJ5eI5OnqOPBNLWSHKh2a30DoXe8/edit?usp=sharing"",""นราธิวาส!J81"")"),1)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IFERROR(__xludf.DUMMYFUNCTION("IMPORTRANGE(""https://docs.google.com/spreadsheets/d/1IYY_tgx_IHuhSq3AJ5eI5OnqOPBNLWSHKh2a30DoXe8/edit?usp=sharing"",""นราธิวาส!J82"")"),1)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IFERROR(__xludf.DUMMYFUNCTION("IMPORTRANGE(""https://docs.google.com/spreadsheets/d/1IYY_tgx_IHuhSq3AJ5eI5OnqOPBNLWSHKh2a30DoXe8/edit?usp=sharing"",""นราธิวาส!I83"")"),4)</f>
        <v>4</v>
      </c>
      <c r="J158" s="195">
        <f ca="1">IFERROR(__xludf.DUMMYFUNCTION("IMPORTRANGE(""https://docs.google.com/spreadsheets/d/1IYY_tgx_IHuhSq3AJ5eI5OnqOPBNLWSHKh2a30DoXe8/edit?usp=sharing"",""นราธิวาส!J83"")"),4)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IFERROR(__xludf.DUMMYFUNCTION("IMPORTRANGE(""https://docs.google.com/spreadsheets/d/1IYY_tgx_IHuhSq3AJ5eI5OnqOPBNLWSHKh2a30DoXe8/edit?usp=sharing"",""นราธิวาส!J84"")"),207)</f>
        <v>207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IFERROR(__xludf.DUMMYFUNCTION("IMPORTRANGE(""https://docs.google.com/spreadsheets/d/1IYY_tgx_IHuhSq3AJ5eI5OnqOPBNLWSHKh2a30DoXe8/edit?usp=sharing"",""นราธิวาส!J85"")"),207)</f>
        <v>207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IFERROR(__xludf.DUMMYFUNCTION("IMPORTRANGE(""https://docs.google.com/spreadsheets/d/1IYY_tgx_IHuhSq3AJ5eI5OnqOPBNLWSHKh2a30DoXe8/edit?usp=sharing"",""นราธิวาส!J87"")"),0)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IFERROR(__xludf.DUMMYFUNCTION("IMPORTRANGE(""https://docs.google.com/spreadsheets/d/1IYY_tgx_IHuhSq3AJ5eI5OnqOPBNLWSHKh2a30DoXe8/edit?usp=sharing"",""นราธิวาส!J88"")"),0)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IFERROR(__xludf.DUMMYFUNCTION("IMPORTRANGE(""https://docs.google.com/spreadsheets/d/1IYY_tgx_IHuhSq3AJ5eI5OnqOPBNLWSHKh2a30DoXe8/edit?usp=sharing"",""นราธิวาส!J94"")"),0)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IFERROR(__xludf.DUMMYFUNCTION("IMPORTRANGE(""https://docs.google.com/spreadsheets/d/1IYY_tgx_IHuhSq3AJ5eI5OnqOPBNLWSHKh2a30DoXe8/edit?usp=sharing"",""นราธิวาส!J95"")"),1)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IFERROR(__xludf.DUMMYFUNCTION("IMPORTRANGE(""https://docs.google.com/spreadsheets/d/1IYY_tgx_IHuhSq3AJ5eI5OnqOPBNLWSHKh2a30DoXe8/edit?usp=sharing"",""นราธิวาส!J96"")"),1)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IFERROR(__xludf.DUMMYFUNCTION("IMPORTRANGE(""https://docs.google.com/spreadsheets/d/1IYY_tgx_IHuhSq3AJ5eI5OnqOPBNLWSHKh2a30DoXe8/edit?usp=sharing"",""นราธิวาส!J97"")"),1)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IFERROR(__xludf.DUMMYFUNCTION("IMPORTRANGE(""https://docs.google.com/spreadsheets/d/1IYY_tgx_IHuhSq3AJ5eI5OnqOPBNLWSHKh2a30DoXe8/edit?usp=sharing"",""นราธิวาส!I98"")"),2)</f>
        <v>2</v>
      </c>
      <c r="J173" s="195">
        <f ca="1">IFERROR(__xludf.DUMMYFUNCTION("IMPORTRANGE(""https://docs.google.com/spreadsheets/d/1IYY_tgx_IHuhSq3AJ5eI5OnqOPBNLWSHKh2a30DoXe8/edit?usp=sharing"",""นราธิวาส!J98"")"),2)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IFERROR(__xludf.DUMMYFUNCTION("IMPORTRANGE(""https://docs.google.com/spreadsheets/d/1IYY_tgx_IHuhSq3AJ5eI5OnqOPBNLWSHKh2a30DoXe8/edit?usp=sharing"",""นราธิวาส!J99"")"),0)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IFERROR(__xludf.DUMMYFUNCTION("IMPORTRANGE(""https://docs.google.com/spreadsheets/d/1IYY_tgx_IHuhSq3AJ5eI5OnqOPBNLWSHKh2a30DoXe8/edit?usp=sharing"",""นราธิวาส!J100"")"),0)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IFERROR(__xludf.DUMMYFUNCTION("IMPORTRANGE(""https://docs.google.com/spreadsheets/d/1IYY_tgx_IHuhSq3AJ5eI5OnqOPBNLWSHKh2a30DoXe8/edit?usp=sharing"",""นราธิวาส!J106"")"),0)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IFERROR(__xludf.DUMMYFUNCTION("IMPORTRANGE(""https://docs.google.com/spreadsheets/d/1IYY_tgx_IHuhSq3AJ5eI5OnqOPBNLWSHKh2a30DoXe8/edit?usp=sharing"",""นราธิวาส!J107"")"),0)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IFERROR(__xludf.DUMMYFUNCTION("IMPORTRANGE(""https://docs.google.com/spreadsheets/d/1IYY_tgx_IHuhSq3AJ5eI5OnqOPBNLWSHKh2a30DoXe8/edit?usp=sharing"",""นราธิวาส!J108"")"),0)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IFERROR(__xludf.DUMMYFUNCTION("IMPORTRANGE(""https://docs.google.com/spreadsheets/d/1IYY_tgx_IHuhSq3AJ5eI5OnqOPBNLWSHKh2a30DoXe8/edit?usp=sharing"",""นราธิวาส!J109"")"),0)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IFERROR(__xludf.DUMMYFUNCTION("IMPORTRANGE(""https://docs.google.com/spreadsheets/d/1IYY_tgx_IHuhSq3AJ5eI5OnqOPBNLWSHKh2a30DoXe8/edit?usp=sharing"",""นราธิวาส!I110"")"),0)</f>
        <v>0</v>
      </c>
      <c r="J185" s="210">
        <f ca="1">IFERROR(__xludf.DUMMYFUNCTION("IMPORTRANGE(""https://docs.google.com/spreadsheets/d/1IYY_tgx_IHuhSq3AJ5eI5OnqOPBNLWSHKh2a30DoXe8/edit?usp=sharing"",""นราธิวาส!J110"")"),0)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IFERROR(__xludf.DUMMYFUNCTION("IMPORTRANGE(""https://docs.google.com/spreadsheets/d/1IYY_tgx_IHuhSq3AJ5eI5OnqOPBNLWSHKh2a30DoXe8/edit?usp=sharing"",""นราธิวาส!I111"")"),0)</f>
        <v>0</v>
      </c>
      <c r="J186" s="210">
        <f ca="1">IFERROR(__xludf.DUMMYFUNCTION("IMPORTRANGE(""https://docs.google.com/spreadsheets/d/1IYY_tgx_IHuhSq3AJ5eI5OnqOPBNLWSHKh2a30DoXe8/edit?usp=sharing"",""นราธิวาส!J111"")"),0)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IFERROR(__xludf.DUMMYFUNCTION("IMPORTRANGE(""https://docs.google.com/spreadsheets/d/1IYY_tgx_IHuhSq3AJ5eI5OnqOPBNLWSHKh2a30DoXe8/edit?usp=sharing"",""นราธิวาส!J112"")"),0)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IFERROR(__xludf.DUMMYFUNCTION("IMPORTRANGE(""https://docs.google.com/spreadsheets/d/1IYY_tgx_IHuhSq3AJ5eI5OnqOPBNLWSHKh2a30DoXe8/edit?usp=sharing"",""นราธิวาส!J113"")"),0)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IFERROR(__xludf.DUMMYFUNCTION("IMPORTRANGE(""https://docs.google.com/spreadsheets/d/1IYY_tgx_IHuhSq3AJ5eI5OnqOPBNLWSHKh2a30DoXe8/edit?usp=sharing"",""นราธิวาส!J119"")"),0)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IFERROR(__xludf.DUMMYFUNCTION("IMPORTRANGE(""https://docs.google.com/spreadsheets/d/1IYY_tgx_IHuhSq3AJ5eI5OnqOPBNLWSHKh2a30DoXe8/edit?usp=sharing"",""นราธิวาส!J120"")"),1)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IFERROR(__xludf.DUMMYFUNCTION("IMPORTRANGE(""https://docs.google.com/spreadsheets/d/1IYY_tgx_IHuhSq3AJ5eI5OnqOPBNLWSHKh2a30DoXe8/edit?usp=sharing"",""นราธิวาส!J121"")"),1)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IFERROR(__xludf.DUMMYFUNCTION("IMPORTRANGE(""https://docs.google.com/spreadsheets/d/1IYY_tgx_IHuhSq3AJ5eI5OnqOPBNLWSHKh2a30DoXe8/edit?usp=sharing"",""นราธิวาส!J122"")"),1)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IFERROR(__xludf.DUMMYFUNCTION("IMPORTRANGE(""https://docs.google.com/spreadsheets/d/1IYY_tgx_IHuhSq3AJ5eI5OnqOPBNLWSHKh2a30DoXe8/edit?usp=sharing"",""นราธิวาส!I124"")"),10000)</f>
        <v>10000</v>
      </c>
      <c r="J199" s="195">
        <f ca="1">IFERROR(__xludf.DUMMYFUNCTION("IMPORTRANGE(""https://docs.google.com/spreadsheets/d/1IYY_tgx_IHuhSq3AJ5eI5OnqOPBNLWSHKh2a30DoXe8/edit?usp=sharing"",""นราธิวาส!J124"")"),10000)</f>
        <v>10000</v>
      </c>
      <c r="K199" s="167">
        <f t="shared" ref="K199:K201" ca="1" si="69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IFERROR(__xludf.DUMMYFUNCTION("IMPORTRANGE(""https://docs.google.com/spreadsheets/d/1IYY_tgx_IHuhSq3AJ5eI5OnqOPBNLWSHKh2a30DoXe8/edit?usp=sharing"",""นราธิวาส!I125"")"),10000)</f>
        <v>10000</v>
      </c>
      <c r="J200" s="195">
        <f ca="1">IFERROR(__xludf.DUMMYFUNCTION("IMPORTRANGE(""https://docs.google.com/spreadsheets/d/1IYY_tgx_IHuhSq3AJ5eI5OnqOPBNLWSHKh2a30DoXe8/edit?usp=sharing"",""นราธิวาส!J125"")"),10000)</f>
        <v>10000</v>
      </c>
      <c r="K200" s="167">
        <f t="shared" ca="1" si="69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IFERROR(__xludf.DUMMYFUNCTION("IMPORTRANGE(""https://docs.google.com/spreadsheets/d/1IYY_tgx_IHuhSq3AJ5eI5OnqOPBNLWSHKh2a30DoXe8/edit?usp=sharing"",""นราธิวาส!I126"")"),0)</f>
        <v>0</v>
      </c>
      <c r="J201" s="195">
        <f ca="1">IFERROR(__xludf.DUMMYFUNCTION("IMPORTRANGE(""https://docs.google.com/spreadsheets/d/1IYY_tgx_IHuhSq3AJ5eI5OnqOPBNLWSHKh2a30DoXe8/edit?usp=sharing"",""นราธิวาส!J126"")"),0)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IFERROR(__xludf.DUMMYFUNCTION("IMPORTRANGE(""https://docs.google.com/spreadsheets/d/1IYY_tgx_IHuhSq3AJ5eI5OnqOPBNLWSHKh2a30DoXe8/edit?usp=sharing"",""นราธิวาส!J127"")"),0)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IFERROR(__xludf.DUMMYFUNCTION("IMPORTRANGE(""https://docs.google.com/spreadsheets/d/1IYY_tgx_IHuhSq3AJ5eI5OnqOPBNLWSHKh2a30DoXe8/edit?usp=sharing"",""นราธิวาส!J128"")"),0)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IFERROR(__xludf.DUMMYFUNCTION("IMPORTRANGE(""https://docs.google.com/spreadsheets/d/1IYY_tgx_IHuhSq3AJ5eI5OnqOPBNLWSHKh2a30DoXe8/edit?usp=sharing"",""นราธิวาส!J134"")"),0)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IFERROR(__xludf.DUMMYFUNCTION("IMPORTRANGE(""https://docs.google.com/spreadsheets/d/1IYY_tgx_IHuhSq3AJ5eI5OnqOPBNLWSHKh2a30DoXe8/edit?usp=sharing"",""นราธิวาส!J135"")"),0)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IFERROR(__xludf.DUMMYFUNCTION("IMPORTRANGE(""https://docs.google.com/spreadsheets/d/1IYY_tgx_IHuhSq3AJ5eI5OnqOPBNLWSHKh2a30DoXe8/edit?usp=sharing"",""นราธิวาส!J136"")"),0)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IFERROR(__xludf.DUMMYFUNCTION("IMPORTRANGE(""https://docs.google.com/spreadsheets/d/1IYY_tgx_IHuhSq3AJ5eI5OnqOPBNLWSHKh2a30DoXe8/edit?usp=sharing"",""นราธิวาส!J137"")"),0)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IFERROR(__xludf.DUMMYFUNCTION("IMPORTRANGE(""https://docs.google.com/spreadsheets/d/1IYY_tgx_IHuhSq3AJ5eI5OnqOPBNLWSHKh2a30DoXe8/edit?usp=sharing"",""นราธิวาส!I138"")"),0)</f>
        <v>0</v>
      </c>
      <c r="J213" s="210">
        <f ca="1">IFERROR(__xludf.DUMMYFUNCTION("IMPORTRANGE(""https://docs.google.com/spreadsheets/d/1IYY_tgx_IHuhSq3AJ5eI5OnqOPBNLWSHKh2a30DoXe8/edit?usp=sharing"",""นราธิวาส!J138"")"),0)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IFERROR(__xludf.DUMMYFUNCTION("IMPORTRANGE(""https://docs.google.com/spreadsheets/d/1IYY_tgx_IHuhSq3AJ5eI5OnqOPBNLWSHKh2a30DoXe8/edit?usp=sharing"",""นราธิวาส!I140"")"),0)</f>
        <v>0</v>
      </c>
      <c r="J215" s="210">
        <f ca="1">IFERROR(__xludf.DUMMYFUNCTION("IMPORTRANGE(""https://docs.google.com/spreadsheets/d/1IYY_tgx_IHuhSq3AJ5eI5OnqOPBNLWSHKh2a30DoXe8/edit?usp=sharing"",""นราธิวาส!J140"")"),0)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IFERROR(__xludf.DUMMYFUNCTION("IMPORTRANGE(""https://docs.google.com/spreadsheets/d/1IYY_tgx_IHuhSq3AJ5eI5OnqOPBNLWSHKh2a30DoXe8/edit?usp=sharing"",""นราธิวาส!I141"")"),0)</f>
        <v>0</v>
      </c>
      <c r="J216" s="210">
        <f ca="1">IFERROR(__xludf.DUMMYFUNCTION("IMPORTRANGE(""https://docs.google.com/spreadsheets/d/1IYY_tgx_IHuhSq3AJ5eI5OnqOPBNLWSHKh2a30DoXe8/edit?usp=sharing"",""นราธิวาส!J141"")"),0)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IFERROR(__xludf.DUMMYFUNCTION("IMPORTRANGE(""https://docs.google.com/spreadsheets/d/1IYY_tgx_IHuhSq3AJ5eI5OnqOPBNLWSHKh2a30DoXe8/edit?usp=sharing"",""นราธิวาส!J142"")"),0)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IFERROR(__xludf.DUMMYFUNCTION("IMPORTRANGE(""https://docs.google.com/spreadsheets/d/1IYY_tgx_IHuhSq3AJ5eI5OnqOPBNLWSHKh2a30DoXe8/edit?usp=sharing"",""นราธิวาส!J143"")"),0)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IFERROR(__xludf.DUMMYFUNCTION("IMPORTRANGE(""https://docs.google.com/spreadsheets/d/1IYY_tgx_IHuhSq3AJ5eI5OnqOPBNLWSHKh2a30DoXe8/edit?usp=sharing"",""นราธิวาส!I144"")"),15)</f>
        <v>15</v>
      </c>
      <c r="J219" s="273">
        <f ca="1">IFERROR(__xludf.DUMMYFUNCTION("IMPORTRANGE(""https://docs.google.com/spreadsheets/d/1IYY_tgx_IHuhSq3AJ5eI5OnqOPBNLWSHKh2a30DoXe8/edit?usp=sharing"",""นราธิวาส!J144"")"),15)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1">L221+L222</f>
        <v>21125</v>
      </c>
      <c r="M220" s="156">
        <f t="shared" ca="1" si="71"/>
        <v>35425</v>
      </c>
      <c r="N220" s="156">
        <f t="shared" ca="1" si="71"/>
        <v>21125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59.633027522935777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21125</v>
      </c>
      <c r="M222" s="161">
        <f t="shared" ca="1" si="75"/>
        <v>35425</v>
      </c>
      <c r="N222" s="161">
        <f t="shared" ca="1" si="75"/>
        <v>21125</v>
      </c>
      <c r="O222" s="160">
        <f t="shared" ca="1" si="72"/>
        <v>100</v>
      </c>
      <c r="P222" s="160">
        <f t="shared" ca="1" si="73"/>
        <v>59.633027522935777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IFERROR(__xludf.DUMMYFUNCTION("IMPORTRANGE(""https://docs.google.com/spreadsheets/d/1Yj_ptqi66GCucihVvJfMjLAmec39IyEx_6qawtMGysU/edit?usp=sharing"",""สบก!BS85"")"),35425)</f>
        <v>35425</v>
      </c>
      <c r="N224" s="174">
        <f ca="1">IFERROR(__xludf.DUMMYFUNCTION("IMPORTRANGE(""https://docs.google.com/spreadsheets/d/1Yj_ptqi66GCucihVvJfMjLAmec39IyEx_6qawtMGysU/edit?usp=sharing"",""สบก!BT85"")"),21125)</f>
        <v>21125</v>
      </c>
      <c r="O224" s="175">
        <f ca="1">IF(L224&gt;0,N224*100/L224,0)</f>
        <v>100</v>
      </c>
      <c r="P224" s="175">
        <f ca="1">IF(M224&gt;0,N224*100/M224,0)</f>
        <v>59.633027522935777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IFERROR(__xludf.DUMMYFUNCTION("IMPORTRANGE(""https://docs.google.com/spreadsheets/d/1Yj_ptqi66GCucihVvJfMjLAmec39IyEx_6qawtMGysU/edit?usp=sharing"",""สบก!BO85"")"),0)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IFERROR(__xludf.DUMMYFUNCTION("IMPORTRANGE(""https://docs.google.com/spreadsheets/d/1Yj_ptqi66GCucihVvJfMjLAmec39IyEx_6qawtMGysU/edit?usp=sharing"",""สบก!BP85"")"),21125)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IFERROR(__xludf.DUMMYFUNCTION("IMPORTRANGE(""https://docs.google.com/spreadsheets/d/1IYY_tgx_IHuhSq3AJ5eI5OnqOPBNLWSHKh2a30DoXe8/edit?usp=sharing"",""นราธิวาส!I149"")"),15)</f>
        <v>15</v>
      </c>
      <c r="J229" s="273">
        <f ca="1">IFERROR(__xludf.DUMMYFUNCTION("IMPORTRANGE(""https://docs.google.com/spreadsheets/d/1IYY_tgx_IHuhSq3AJ5eI5OnqOPBNLWSHKh2a30DoXe8/edit?usp=sharing"",""นราธิวาส!J149"")"),15)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IFERROR(__xludf.DUMMYFUNCTION("IMPORTRANGE(""https://docs.google.com/spreadsheets/d/1IYY_tgx_IHuhSq3AJ5eI5OnqOPBNLWSHKh2a30DoXe8/edit?usp=sharing"",""นราธิวาส!J151"")"),0)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IFERROR(__xludf.DUMMYFUNCTION("IMPORTRANGE(""https://docs.google.com/spreadsheets/d/1IYY_tgx_IHuhSq3AJ5eI5OnqOPBNLWSHKh2a30DoXe8/edit?usp=sharing"",""นราธิวาส!J152"")"),1)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IFERROR(__xludf.DUMMYFUNCTION("IMPORTRANGE(""https://docs.google.com/spreadsheets/d/1IYY_tgx_IHuhSq3AJ5eI5OnqOPBNLWSHKh2a30DoXe8/edit?usp=sharing"",""นราธิวาส!J153"")"),1)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IFERROR(__xludf.DUMMYFUNCTION("IMPORTRANGE(""https://docs.google.com/spreadsheets/d/1IYY_tgx_IHuhSq3AJ5eI5OnqOPBNLWSHKh2a30DoXe8/edit?usp=sharing"",""นราธิวาส!J154"")"),1)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IFERROR(__xludf.DUMMYFUNCTION("IMPORTRANGE(""https://docs.google.com/spreadsheets/d/1IYY_tgx_IHuhSq3AJ5eI5OnqOPBNLWSHKh2a30DoXe8/edit?usp=sharing"",""นราธิวาส!I155"")"),15)</f>
        <v>15</v>
      </c>
      <c r="J235" s="195">
        <f ca="1">IFERROR(__xludf.DUMMYFUNCTION("IMPORTRANGE(""https://docs.google.com/spreadsheets/d/1IYY_tgx_IHuhSq3AJ5eI5OnqOPBNLWSHKh2a30DoXe8/edit?usp=sharing"",""นราธิวาส!J155"")"),15)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IFERROR(__xludf.DUMMYFUNCTION("IMPORTRANGE(""https://docs.google.com/spreadsheets/d/1IYY_tgx_IHuhSq3AJ5eI5OnqOPBNLWSHKh2a30DoXe8/edit?usp=sharing"",""นราธิวาส!J156"")"),0)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IFERROR(__xludf.DUMMYFUNCTION("IMPORTRANGE(""https://docs.google.com/spreadsheets/d/1IYY_tgx_IHuhSq3AJ5eI5OnqOPBNLWSHKh2a30DoXe8/edit?usp=sharing"",""นราธิวาส!J157"")"),0)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IFERROR(__xludf.DUMMYFUNCTION("IMPORTRANGE(""https://docs.google.com/spreadsheets/d/1IYY_tgx_IHuhSq3AJ5eI5OnqOPBNLWSHKh2a30DoXe8/edit?usp=sharing"",""นราธิวาส!I158"")"),0)</f>
        <v>0</v>
      </c>
      <c r="J238" s="273">
        <f ca="1">IFERROR(__xludf.DUMMYFUNCTION("IMPORTRANGE(""https://docs.google.com/spreadsheets/d/1IYY_tgx_IHuhSq3AJ5eI5OnqOPBNLWSHKh2a30DoXe8/edit?usp=sharing"",""นราธิวาส!J158"")"),0)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IFERROR(__xludf.DUMMYFUNCTION("IMPORTRANGE(""https://docs.google.com/spreadsheets/d/1IYY_tgx_IHuhSq3AJ5eI5OnqOPBNLWSHKh2a30DoXe8/edit?usp=sharing"",""นราธิวาส!J159"")"),"")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IFERROR(__xludf.DUMMYFUNCTION("IMPORTRANGE(""https://docs.google.com/spreadsheets/d/1IYY_tgx_IHuhSq3AJ5eI5OnqOPBNLWSHKh2a30DoXe8/edit?usp=sharing"",""นราธิวาส!J161"")"),0)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IFERROR(__xludf.DUMMYFUNCTION("IMPORTRANGE(""https://docs.google.com/spreadsheets/d/1IYY_tgx_IHuhSq3AJ5eI5OnqOPBNLWSHKh2a30DoXe8/edit?usp=sharing"",""นราธิวาส!J162"")"),0)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IFERROR(__xludf.DUMMYFUNCTION("IMPORTRANGE(""https://docs.google.com/spreadsheets/d/1IYY_tgx_IHuhSq3AJ5eI5OnqOPBNLWSHKh2a30DoXe8/edit?usp=sharing"",""นราธิวาส!J163"")"),0)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IFERROR(__xludf.DUMMYFUNCTION("IMPORTRANGE(""https://docs.google.com/spreadsheets/d/1IYY_tgx_IHuhSq3AJ5eI5OnqOPBNLWSHKh2a30DoXe8/edit?usp=sharing"",""นราธิวาส!I164"")"),0)</f>
        <v>0</v>
      </c>
      <c r="J244" s="194">
        <f ca="1">IFERROR(__xludf.DUMMYFUNCTION("IMPORTRANGE(""https://docs.google.com/spreadsheets/d/1IYY_tgx_IHuhSq3AJ5eI5OnqOPBNLWSHKh2a30DoXe8/edit?usp=sharing"",""นราธิวาส!J164"")"),0)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IFERROR(__xludf.DUMMYFUNCTION("IMPORTRANGE(""https://docs.google.com/spreadsheets/d/1IYY_tgx_IHuhSq3AJ5eI5OnqOPBNLWSHKh2a30DoXe8/edit?usp=sharing"",""นราธิวาส!J165"")"),0)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6">L251+L252</f>
        <v>0</v>
      </c>
      <c r="M250" s="156">
        <f t="shared" ca="1" si="76"/>
        <v>0</v>
      </c>
      <c r="N250" s="156">
        <f t="shared" ca="1" si="76"/>
        <v>0</v>
      </c>
      <c r="O250" s="155">
        <f t="shared" ref="O250:O252" ca="1" si="77">IF(L250&gt;0,N250*100/L250,0)</f>
        <v>0</v>
      </c>
      <c r="P250" s="155">
        <f t="shared" ref="P250:P252" ca="1" si="78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0</v>
      </c>
      <c r="M252" s="161">
        <f t="shared" ca="1" si="80"/>
        <v>0</v>
      </c>
      <c r="N252" s="161">
        <f t="shared" ca="1" si="80"/>
        <v>0</v>
      </c>
      <c r="O252" s="160">
        <f t="shared" ca="1" si="77"/>
        <v>0</v>
      </c>
      <c r="P252" s="160">
        <f t="shared" ca="1" si="78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IFERROR(__xludf.DUMMYFUNCTION("IMPORTRANGE(""https://docs.google.com/spreadsheets/d/1Yj_ptqi66GCucihVvJfMjLAmec39IyEx_6qawtMGysU/edit?usp=sharing"",""สบก!CB85"")"),0)</f>
        <v>0</v>
      </c>
      <c r="N254" s="174">
        <f ca="1">IFERROR(__xludf.DUMMYFUNCTION("IMPORTRANGE(""https://docs.google.com/spreadsheets/d/1Yj_ptqi66GCucihVvJfMjLAmec39IyEx_6qawtMGysU/edit?usp=sharing"",""สบก!CC85"")"),0)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IFERROR(__xludf.DUMMYFUNCTION("IMPORTRANGE(""https://docs.google.com/spreadsheets/d/1Yj_ptqi66GCucihVvJfMjLAmec39IyEx_6qawtMGysU/edit?usp=sharing"",""สบก!BX85"")"),0)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IFERROR(__xludf.DUMMYFUNCTION("IMPORTRANGE(""https://docs.google.com/spreadsheets/d/1Yj_ptqi66GCucihVvJfMjLAmec39IyEx_6qawtMGysU/edit?usp=sharing"",""สบก!BY85"")"),0)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IFERROR(__xludf.DUMMYFUNCTION("IMPORTRANGE(""https://docs.google.com/spreadsheets/d/1IYY_tgx_IHuhSq3AJ5eI5OnqOPBNLWSHKh2a30DoXe8/edit?usp=sharing"",""นราธิวาส!J175"")"),0)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IFERROR(__xludf.DUMMYFUNCTION("IMPORTRANGE(""https://docs.google.com/spreadsheets/d/1IYY_tgx_IHuhSq3AJ5eI5OnqOPBNLWSHKh2a30DoXe8/edit?usp=sharing"",""นราธิวาส!J176"")"),0)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IFERROR(__xludf.DUMMYFUNCTION("IMPORTRANGE(""https://docs.google.com/spreadsheets/d/1IYY_tgx_IHuhSq3AJ5eI5OnqOPBNLWSHKh2a30DoXe8/edit?usp=sharing"",""นราธิวาส!J177"")"),0)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IFERROR(__xludf.DUMMYFUNCTION("IMPORTRANGE(""https://docs.google.com/spreadsheets/d/1IYY_tgx_IHuhSq3AJ5eI5OnqOPBNLWSHKh2a30DoXe8/edit?usp=sharing"",""นราธิวาส!J178"")"),0)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IFERROR(__xludf.DUMMYFUNCTION("IMPORTRANGE(""https://docs.google.com/spreadsheets/d/1IYY_tgx_IHuhSq3AJ5eI5OnqOPBNLWSHKh2a30DoXe8/edit?usp=sharing"",""นราธิวาส!I179"")"),0)</f>
        <v>0</v>
      </c>
      <c r="J264" s="195">
        <f ca="1">IFERROR(__xludf.DUMMYFUNCTION("IMPORTRANGE(""https://docs.google.com/spreadsheets/d/1IYY_tgx_IHuhSq3AJ5eI5OnqOPBNLWSHKh2a30DoXe8/edit?usp=sharing"",""นราธิวาส!J179"")"),0)</f>
        <v>0</v>
      </c>
      <c r="K264" s="167">
        <f t="shared" ref="K264:K267" ca="1" si="81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IFERROR(__xludf.DUMMYFUNCTION("IMPORTRANGE(""https://docs.google.com/spreadsheets/d/1IYY_tgx_IHuhSq3AJ5eI5OnqOPBNLWSHKh2a30DoXe8/edit?usp=sharing"",""นราธิวาส!I180"")"),0)</f>
        <v>0</v>
      </c>
      <c r="J265" s="195">
        <f ca="1">IFERROR(__xludf.DUMMYFUNCTION("IMPORTRANGE(""https://docs.google.com/spreadsheets/d/1IYY_tgx_IHuhSq3AJ5eI5OnqOPBNLWSHKh2a30DoXe8/edit?usp=sharing"",""นราธิวาส!J180"")"),0)</f>
        <v>0</v>
      </c>
      <c r="K265" s="167">
        <f t="shared" ca="1" si="81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IFERROR(__xludf.DUMMYFUNCTION("IMPORTRANGE(""https://docs.google.com/spreadsheets/d/1IYY_tgx_IHuhSq3AJ5eI5OnqOPBNLWSHKh2a30DoXe8/edit?usp=sharing"",""นราธิวาส!I181"")"),0)</f>
        <v>0</v>
      </c>
      <c r="J266" s="195">
        <f ca="1">IFERROR(__xludf.DUMMYFUNCTION("IMPORTRANGE(""https://docs.google.com/spreadsheets/d/1IYY_tgx_IHuhSq3AJ5eI5OnqOPBNLWSHKh2a30DoXe8/edit?usp=sharing"",""นราธิวาส!J181"")"),0)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IFERROR(__xludf.DUMMYFUNCTION("IMPORTRANGE(""https://docs.google.com/spreadsheets/d/1IYY_tgx_IHuhSq3AJ5eI5OnqOPBNLWSHKh2a30DoXe8/edit?usp=sharing"",""นราธิวาส!I182"")"),0)</f>
        <v>0</v>
      </c>
      <c r="J267" s="195">
        <f ca="1">IFERROR(__xludf.DUMMYFUNCTION("IMPORTRANGE(""https://docs.google.com/spreadsheets/d/1IYY_tgx_IHuhSq3AJ5eI5OnqOPBNLWSHKh2a30DoXe8/edit?usp=sharing"",""นราธิวาส!J182"")"),0)</f>
        <v>0</v>
      </c>
      <c r="K267" s="167">
        <f t="shared" ca="1" si="81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IFERROR(__xludf.DUMMYFUNCTION("IMPORTRANGE(""https://docs.google.com/spreadsheets/d/1IYY_tgx_IHuhSq3AJ5eI5OnqOPBNLWSHKh2a30DoXe8/edit?usp=sharing"",""นราธิวาส!J183"")"),0)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IFERROR(__xludf.DUMMYFUNCTION("IMPORTRANGE(""https://docs.google.com/spreadsheets/d/1Yj_ptqi66GCucihVvJfMjLAmec39IyEx_6qawtMGysU/edit?usp=sharing"",""สบก!CK85"")"),0)</f>
        <v>0</v>
      </c>
      <c r="N275" s="174">
        <f ca="1">IFERROR(__xludf.DUMMYFUNCTION("IMPORTRANGE(""https://docs.google.com/spreadsheets/d/1Yj_ptqi66GCucihVvJfMjLAmec39IyEx_6qawtMGysU/edit?usp=sharing"",""สบก!CL85"")"),0)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IFERROR(__xludf.DUMMYFUNCTION("IMPORTRANGE(""https://docs.google.com/spreadsheets/d/1Yj_ptqi66GCucihVvJfMjLAmec39IyEx_6qawtMGysU/edit?usp=sharing"",""สบก!CG85"")"),0)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IFERROR(__xludf.DUMMYFUNCTION("IMPORTRANGE(""https://docs.google.com/spreadsheets/d/1Yj_ptqi66GCucihVvJfMjLAmec39IyEx_6qawtMGysU/edit?usp=sharing"",""สบก!CH85"")"),0)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IFERROR(__xludf.DUMMYFUNCTION("IMPORTRANGE(""https://docs.google.com/spreadsheets/d/1IYY_tgx_IHuhSq3AJ5eI5OnqOPBNLWSHKh2a30DoXe8/edit?usp=sharing"",""นราธิวาส!J191"")"),0)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IFERROR(__xludf.DUMMYFUNCTION("IMPORTRANGE(""https://docs.google.com/spreadsheets/d/1IYY_tgx_IHuhSq3AJ5eI5OnqOPBNLWSHKh2a30DoXe8/edit?usp=sharing"",""นราธิวาส!J192"")"),0)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IFERROR(__xludf.DUMMYFUNCTION("IMPORTRANGE(""https://docs.google.com/spreadsheets/d/1IYY_tgx_IHuhSq3AJ5eI5OnqOPBNLWSHKh2a30DoXe8/edit?usp=sharing"",""นราธิวาส!J193"")"),0)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IFERROR(__xludf.DUMMYFUNCTION("IMPORTRANGE(""https://docs.google.com/spreadsheets/d/1IYY_tgx_IHuhSq3AJ5eI5OnqOPBNLWSHKh2a30DoXe8/edit?usp=sharing"",""นราธิวาส!J194"")"),0)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IFERROR(__xludf.DUMMYFUNCTION("IMPORTRANGE(""https://docs.google.com/spreadsheets/d/1IYY_tgx_IHuhSq3AJ5eI5OnqOPBNLWSHKh2a30DoXe8/edit?usp=sharing"",""นราธิวาส!I195"")"),0)</f>
        <v>0</v>
      </c>
      <c r="J285" s="195">
        <f ca="1">IFERROR(__xludf.DUMMYFUNCTION("IMPORTRANGE(""https://docs.google.com/spreadsheets/d/1IYY_tgx_IHuhSq3AJ5eI5OnqOPBNLWSHKh2a30DoXe8/edit?usp=sharing"",""นราธิวาส!J195"")"),0)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IFERROR(__xludf.DUMMYFUNCTION("IMPORTRANGE(""https://docs.google.com/spreadsheets/d/1IYY_tgx_IHuhSq3AJ5eI5OnqOPBNLWSHKh2a30DoXe8/edit?usp=sharing"",""นราธิวาส!J196"")"),0)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IFERROR(__xludf.DUMMYFUNCTION("IMPORTRANGE(""https://docs.google.com/spreadsheets/d/1IYY_tgx_IHuhSq3AJ5eI5OnqOPBNLWSHKh2a30DoXe8/edit?usp=sharing"",""นราธิวาส!J197"")"),0)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IFERROR(__xludf.DUMMYFUNCTION("IMPORTRANGE(""https://docs.google.com/spreadsheets/d/1Yj_ptqi66GCucihVvJfMjLAmec39IyEx_6qawtMGysU/edit?usp=sharing"",""สบก!CT85"")"),0)</f>
        <v>0</v>
      </c>
      <c r="N294" s="174">
        <f ca="1">IFERROR(__xludf.DUMMYFUNCTION("IMPORTRANGE(""https://docs.google.com/spreadsheets/d/1Yj_ptqi66GCucihVvJfMjLAmec39IyEx_6qawtMGysU/edit?usp=sharing"",""สบก!CU85"")"),0)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IFERROR(__xludf.DUMMYFUNCTION("IMPORTRANGE(""https://docs.google.com/spreadsheets/d/1Yj_ptqi66GCucihVvJfMjLAmec39IyEx_6qawtMGysU/edit?usp=sharing"",""สบก!CP85"")"),0)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IFERROR(__xludf.DUMMYFUNCTION("IMPORTRANGE(""https://docs.google.com/spreadsheets/d/1Yj_ptqi66GCucihVvJfMjLAmec39IyEx_6qawtMGysU/edit?usp=sharing"",""สบก!CQ85"")"),0)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IFERROR(__xludf.DUMMYFUNCTION("IMPORTRANGE(""https://docs.google.com/spreadsheets/d/1IYY_tgx_IHuhSq3AJ5eI5OnqOPBNLWSHKh2a30DoXe8/edit?usp=sharing"",""นราธิวาส!J205"")"),0)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IFERROR(__xludf.DUMMYFUNCTION("IMPORTRANGE(""https://docs.google.com/spreadsheets/d/1IYY_tgx_IHuhSq3AJ5eI5OnqOPBNLWSHKh2a30DoXe8/edit?usp=sharing"",""นราธิวาส!J206"")"),0)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IFERROR(__xludf.DUMMYFUNCTION("IMPORTRANGE(""https://docs.google.com/spreadsheets/d/1IYY_tgx_IHuhSq3AJ5eI5OnqOPBNLWSHKh2a30DoXe8/edit?usp=sharing"",""นราธิวาส!J207"")"),0)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IFERROR(__xludf.DUMMYFUNCTION("IMPORTRANGE(""https://docs.google.com/spreadsheets/d/1IYY_tgx_IHuhSq3AJ5eI5OnqOPBNLWSHKh2a30DoXe8/edit?usp=sharing"",""นราธิวาส!J208"")"),0)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IFERROR(__xludf.DUMMYFUNCTION("IMPORTRANGE(""https://docs.google.com/spreadsheets/d/1IYY_tgx_IHuhSq3AJ5eI5OnqOPBNLWSHKh2a30DoXe8/edit?usp=sharing"",""นราธิวาส!I209"")"),0)</f>
        <v>0</v>
      </c>
      <c r="J304" s="210">
        <f ca="1">IFERROR(__xludf.DUMMYFUNCTION("IMPORTRANGE(""https://docs.google.com/spreadsheets/d/1IYY_tgx_IHuhSq3AJ5eI5OnqOPBNLWSHKh2a30DoXe8/edit?usp=sharing"",""นราธิวาส!J209"")"),0)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IFERROR(__xludf.DUMMYFUNCTION("IMPORTRANGE(""https://docs.google.com/spreadsheets/d/1IYY_tgx_IHuhSq3AJ5eI5OnqOPBNLWSHKh2a30DoXe8/edit?usp=sharing"",""นราธิวาส!I211"")"),0)</f>
        <v>0</v>
      </c>
      <c r="J306" s="210">
        <f ca="1">IFERROR(__xludf.DUMMYFUNCTION("IMPORTRANGE(""https://docs.google.com/spreadsheets/d/1IYY_tgx_IHuhSq3AJ5eI5OnqOPBNLWSHKh2a30DoXe8/edit?usp=sharing"",""นราธิวาส!J211"")"),0)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IFERROR(__xludf.DUMMYFUNCTION("IMPORTRANGE(""https://docs.google.com/spreadsheets/d/1IYY_tgx_IHuhSq3AJ5eI5OnqOPBNLWSHKh2a30DoXe8/edit?usp=sharing"",""นราธิวาส!J212"")"),0)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IFERROR(__xludf.DUMMYFUNCTION("IMPORTRANGE(""https://docs.google.com/spreadsheets/d/1Yj_ptqi66GCucihVvJfMjLAmec39IyEx_6qawtMGysU/edit?usp=sharing"",""สบก!DC85"")"),0)</f>
        <v>0</v>
      </c>
      <c r="N314" s="174">
        <f ca="1">IFERROR(__xludf.DUMMYFUNCTION("IMPORTRANGE(""https://docs.google.com/spreadsheets/d/1Yj_ptqi66GCucihVvJfMjLAmec39IyEx_6qawtMGysU/edit?usp=sharing"",""สบก!DD85"")"),0)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IFERROR(__xludf.DUMMYFUNCTION("IMPORTRANGE(""https://docs.google.com/spreadsheets/d/1Yj_ptqi66GCucihVvJfMjLAmec39IyEx_6qawtMGysU/edit?usp=sharing"",""สบก!CY85"")"),0)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IFERROR(__xludf.DUMMYFUNCTION("IMPORTRANGE(""https://docs.google.com/spreadsheets/d/1Yj_ptqi66GCucihVvJfMjLAmec39IyEx_6qawtMGysU/edit?usp=sharing"",""สบก!CZ85"")"),0)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IFERROR(__xludf.DUMMYFUNCTION("IMPORTRANGE(""https://docs.google.com/spreadsheets/d/1IYY_tgx_IHuhSq3AJ5eI5OnqOPBNLWSHKh2a30DoXe8/edit?usp=sharing"",""นราธิวาส!J220"")"),0)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IFERROR(__xludf.DUMMYFUNCTION("IMPORTRANGE(""https://docs.google.com/spreadsheets/d/1IYY_tgx_IHuhSq3AJ5eI5OnqOPBNLWSHKh2a30DoXe8/edit?usp=sharing"",""นราธิวาส!J221"")"),0)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IFERROR(__xludf.DUMMYFUNCTION("IMPORTRANGE(""https://docs.google.com/spreadsheets/d/1IYY_tgx_IHuhSq3AJ5eI5OnqOPBNLWSHKh2a30DoXe8/edit?usp=sharing"",""นราธิวาส!J222"")"),0)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IFERROR(__xludf.DUMMYFUNCTION("IMPORTRANGE(""https://docs.google.com/spreadsheets/d/1IYY_tgx_IHuhSq3AJ5eI5OnqOPBNLWSHKh2a30DoXe8/edit?usp=sharing"",""นราธิวาส!J223"")"),0)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IFERROR(__xludf.DUMMYFUNCTION("IMPORTRANGE(""https://docs.google.com/spreadsheets/d/1IYY_tgx_IHuhSq3AJ5eI5OnqOPBNLWSHKh2a30DoXe8/edit?usp=sharing"",""นราธิวาส!I224"")"),0)</f>
        <v>0</v>
      </c>
      <c r="J324" s="210">
        <f ca="1">IFERROR(__xludf.DUMMYFUNCTION("IMPORTRANGE(""https://docs.google.com/spreadsheets/d/1IYY_tgx_IHuhSq3AJ5eI5OnqOPBNLWSHKh2a30DoXe8/edit?usp=sharing"",""นราธิวาส!J224"")"),0)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IFERROR(__xludf.DUMMYFUNCTION("IMPORTRANGE(""https://docs.google.com/spreadsheets/d/1IYY_tgx_IHuhSq3AJ5eI5OnqOPBNLWSHKh2a30DoXe8/edit?usp=sharing"",""นราธิวาส!J225"")"),0)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IFERROR(__xludf.DUMMYFUNCTION("IMPORTRANGE(""https://docs.google.com/spreadsheets/d/1IYY_tgx_IHuhSq3AJ5eI5OnqOPBNLWSHKh2a30DoXe8/edit?usp=sharing"",""นราธิวาส!J226"")"),0)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IFERROR(__xludf.DUMMYFUNCTION("IMPORTRANGE(""https://docs.google.com/spreadsheets/d/1IYY_tgx_IHuhSq3AJ5eI5OnqOPBNLWSHKh2a30DoXe8/edit?usp=sharing"",""นราธิวาส!J228"")"),11)</f>
        <v>11</v>
      </c>
      <c r="K328" s="323">
        <f ca="1">IF(I328&gt;0,J328*100/I328,0)</f>
        <v>16.923076923076923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7">L330+L331</f>
        <v>721520</v>
      </c>
      <c r="M329" s="156">
        <f t="shared" ca="1" si="97"/>
        <v>758610</v>
      </c>
      <c r="N329" s="156">
        <f t="shared" ca="1" si="97"/>
        <v>543305.6</v>
      </c>
      <c r="O329" s="155">
        <f t="shared" ref="O329:O331" ca="1" si="98">IF(L329&gt;0,N329*100/L329,0)</f>
        <v>75.300144140148575</v>
      </c>
      <c r="P329" s="155">
        <f t="shared" ref="P329:P331" ca="1" si="99">IF(M329&gt;0,N329*100/M329,0)</f>
        <v>71.618565534332532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721520</v>
      </c>
      <c r="M331" s="161">
        <f t="shared" ca="1" si="101"/>
        <v>758610</v>
      </c>
      <c r="N331" s="161">
        <f t="shared" ca="1" si="101"/>
        <v>543305.6</v>
      </c>
      <c r="O331" s="160">
        <f t="shared" ca="1" si="98"/>
        <v>75.300144140148575</v>
      </c>
      <c r="P331" s="160">
        <f t="shared" ca="1" si="99"/>
        <v>71.618565534332532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721520</v>
      </c>
      <c r="M333" s="173">
        <f ca="1">IFERROR(__xludf.DUMMYFUNCTION("IMPORTRANGE(""https://docs.google.com/spreadsheets/d/1Yj_ptqi66GCucihVvJfMjLAmec39IyEx_6qawtMGysU/edit?usp=sharing"",""สบก!DL85"")"),758610)</f>
        <v>758610</v>
      </c>
      <c r="N333" s="174">
        <f ca="1">IFERROR(__xludf.DUMMYFUNCTION("IMPORTRANGE(""https://docs.google.com/spreadsheets/d/1Yj_ptqi66GCucihVvJfMjLAmec39IyEx_6qawtMGysU/edit?usp=sharing"",""สบก!DM85"")"),543305.6)</f>
        <v>543305.6</v>
      </c>
      <c r="O333" s="175">
        <f ca="1">IF(L333&gt;0,N333*100/L333,0)</f>
        <v>75.300144140148575</v>
      </c>
      <c r="P333" s="175">
        <f ca="1">IF(M333&gt;0,N333*100/M333,0)</f>
        <v>71.618565534332532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IFERROR(__xludf.DUMMYFUNCTION("IMPORTRANGE(""https://docs.google.com/spreadsheets/d/1Yj_ptqi66GCucihVvJfMjLAmec39IyEx_6qawtMGysU/edit?usp=sharing"",""สบก!DH85"")"),506800)</f>
        <v>506800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IFERROR(__xludf.DUMMYFUNCTION("IMPORTRANGE(""https://docs.google.com/spreadsheets/d/1Yj_ptqi66GCucihVvJfMjLAmec39IyEx_6qawtMGysU/edit?usp=sharing"",""สบก!DI85"")"),214720)</f>
        <v>214720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IFERROR(__xludf.DUMMYFUNCTION("IMPORTRANGE(""https://docs.google.com/spreadsheets/d/1IYY_tgx_IHuhSq3AJ5eI5OnqOPBNLWSHKh2a30DoXe8/edit?usp=sharing"",""นราธิวาส!I234"")"),0)</f>
        <v>0</v>
      </c>
      <c r="J339" s="194">
        <f ca="1">IFERROR(__xludf.DUMMYFUNCTION("IMPORTRANGE(""https://docs.google.com/spreadsheets/d/1IYY_tgx_IHuhSq3AJ5eI5OnqOPBNLWSHKh2a30DoXe8/edit?usp=sharing"",""นราธิวาส!J234"")"),50)</f>
        <v>50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IFERROR(__xludf.DUMMYFUNCTION("IMPORTRANGE(""https://docs.google.com/spreadsheets/d/1IYY_tgx_IHuhSq3AJ5eI5OnqOPBNLWSHKh2a30DoXe8/edit?usp=sharing"",""นราธิวาส!I235"")"),165)</f>
        <v>165</v>
      </c>
      <c r="J340" s="194">
        <f ca="1">IFERROR(__xludf.DUMMYFUNCTION("IMPORTRANGE(""https://docs.google.com/spreadsheets/d/1IYY_tgx_IHuhSq3AJ5eI5OnqOPBNLWSHKh2a30DoXe8/edit?usp=sharing"",""นราธิวาส!J235"")"),214.299999999999)</f>
        <v>214.29999999999899</v>
      </c>
      <c r="K340" s="348">
        <f t="shared" ca="1" si="102"/>
        <v>129.87878787878725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IFERROR(__xludf.DUMMYFUNCTION("IMPORTRANGE(""https://docs.google.com/spreadsheets/d/1IYY_tgx_IHuhSq3AJ5eI5OnqOPBNLWSHKh2a30DoXe8/edit?usp=sharing"",""นราธิวาส!I236"")"),65)</f>
        <v>65</v>
      </c>
      <c r="J341" s="194">
        <f ca="1">IFERROR(__xludf.DUMMYFUNCTION("IMPORTRANGE(""https://docs.google.com/spreadsheets/d/1IYY_tgx_IHuhSq3AJ5eI5OnqOPBNLWSHKh2a30DoXe8/edit?usp=sharing"",""นราธิวาส!J236"")"),56)</f>
        <v>56</v>
      </c>
      <c r="K341" s="348">
        <f t="shared" ca="1" si="102"/>
        <v>86.15384615384616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4">
        <f ca="1">IFERROR(__xludf.DUMMYFUNCTION("IMPORTRANGE(""https://docs.google.com/spreadsheets/d/1IYY_tgx_IHuhSq3AJ5eI5OnqOPBNLWSHKh2a30DoXe8/edit?usp=sharing"",""นราธิวาส!J237"")"),251.15)</f>
        <v>251.15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IFERROR(__xludf.DUMMYFUNCTION("IMPORTRANGE(""https://docs.google.com/spreadsheets/d/1IYY_tgx_IHuhSq3AJ5eI5OnqOPBNLWSHKh2a30DoXe8/edit?usp=sharing"",""นราธิวาส!I238"")"),65)</f>
        <v>65</v>
      </c>
      <c r="J343" s="194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2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4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IFERROR(__xludf.DUMMYFUNCTION("IMPORTRANGE(""https://docs.google.com/spreadsheets/d/1IYY_tgx_IHuhSq3AJ5eI5OnqOPBNLWSHKh2a30DoXe8/edit?usp=sharing"",""นราธิวาส!I240"")"),65)</f>
        <v>65</v>
      </c>
      <c r="J345" s="194">
        <f ca="1">IFERROR(__xludf.DUMMYFUNCTION("IMPORTRANGE(""https://docs.google.com/spreadsheets/d/1IYY_tgx_IHuhSq3AJ5eI5OnqOPBNLWSHKh2a30DoXe8/edit?usp=sharing"",""นราธิวาส!J240"")"),11)</f>
        <v>11</v>
      </c>
      <c r="K345" s="348">
        <f t="shared" ca="1" si="102"/>
        <v>16.923076923076923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4">
        <f ca="1">IFERROR(__xludf.DUMMYFUNCTION("IMPORTRANGE(""https://docs.google.com/spreadsheets/d/1IYY_tgx_IHuhSq3AJ5eI5OnqOPBNLWSHKh2a30DoXe8/edit?usp=sharing"",""นราธิวาส!J241"")"),77.89)</f>
        <v>77.89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IFERROR(__xludf.DUMMYFUNCTION("IMPORTRANGE(""https://docs.google.com/spreadsheets/d/1IYY_tgx_IHuhSq3AJ5eI5OnqOPBNLWSHKh2a30DoXe8/edit?usp=sharing"",""นราธิวาส!L242"")"),1554508)</f>
        <v>1554508</v>
      </c>
      <c r="M347" s="364"/>
      <c r="N347" s="364">
        <f ca="1">IFERROR(__xludf.DUMMYFUNCTION("IMPORTRANGE(""https://docs.google.com/spreadsheets/d/1IYY_tgx_IHuhSq3AJ5eI5OnqOPBNLWSHKh2a30DoXe8/edit?usp=sharing"",""นราธิวาส!M242"")"),1512131.45)</f>
        <v>1512131.45</v>
      </c>
      <c r="O347" s="364">
        <f ca="1">+IF(L347&gt;0,N347*100/L347,0)</f>
        <v>97.273957419324958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3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3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IFERROR(__xludf.DUMMYFUNCTION("IMPORTRANGE(""https://docs.google.com/spreadsheets/d/1IYY_tgx_IHuhSq3AJ5eI5OnqOPBNLWSHKh2a30DoXe8/edit?usp=sharing"",""นราธิวาส!L246"")"),0)</f>
        <v>0</v>
      </c>
      <c r="M351" s="168"/>
      <c r="N351" s="168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8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4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IFERROR(__xludf.DUMMYFUNCTION("IMPORTRANGE(""https://docs.google.com/spreadsheets/d/1IYY_tgx_IHuhSq3AJ5eI5OnqOPBNLWSHKh2a30DoXe8/edit?usp=sharing"",""นราธิวาส!L248"")"),0)</f>
        <v>0</v>
      </c>
      <c r="M353" s="175"/>
      <c r="N353" s="175">
        <f ca="1">IFERROR(__xludf.DUMMYFUNCTION("IMPORTRANGE(""https://docs.google.com/spreadsheets/d/1IYY_tgx_IHuhSq3AJ5eI5OnqOPBNLWSHKh2a30DoXe8/edit?usp=sharing"",""นราธิวาส!M248"")"),0)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IFERROR(__xludf.DUMMYFUNCTION("IMPORTRANGE(""https://docs.google.com/spreadsheets/d/1IYY_tgx_IHuhSq3AJ5eI5OnqOPBNLWSHKh2a30DoXe8/edit?usp=sharing"",""นราธิวาส!L249"")"),0)</f>
        <v>0</v>
      </c>
      <c r="M354" s="175"/>
      <c r="N354" s="172">
        <f ca="1">IFERROR(__xludf.DUMMYFUNCTION("IMPORTRANGE(""https://docs.google.com/spreadsheets/d/1IYY_tgx_IHuhSq3AJ5eI5OnqOPBNLWSHKh2a30DoXe8/edit?usp=sharing"",""นราธิวาส!M249"")"),0)</f>
        <v>0</v>
      </c>
      <c r="O354" s="175">
        <f t="shared" ca="1" si="104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IFERROR(__xludf.DUMMYFUNCTION("IMPORTRANGE(""https://docs.google.com/spreadsheets/d/1IYY_tgx_IHuhSq3AJ5eI5OnqOPBNLWSHKh2a30DoXe8/edit?usp=sharing"",""นราธิวาส!J255"")"),0)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IFERROR(__xludf.DUMMYFUNCTION("IMPORTRANGE(""https://docs.google.com/spreadsheets/d/1IYY_tgx_IHuhSq3AJ5eI5OnqOPBNLWSHKh2a30DoXe8/edit?usp=sharing"",""นราธิวาส!J256"")"),0)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IFERROR(__xludf.DUMMYFUNCTION("IMPORTRANGE(""https://docs.google.com/spreadsheets/d/1IYY_tgx_IHuhSq3AJ5eI5OnqOPBNLWSHKh2a30DoXe8/edit?usp=sharing"",""นราธิวาส!J257"")"),0)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IFERROR(__xludf.DUMMYFUNCTION("IMPORTRANGE(""https://docs.google.com/spreadsheets/d/1IYY_tgx_IHuhSq3AJ5eI5OnqOPBNLWSHKh2a30DoXe8/edit?usp=sharing"",""นราธิวาส!J258"")"),0)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IFERROR(__xludf.DUMMYFUNCTION("IMPORTRANGE(""https://docs.google.com/spreadsheets/d/1IYY_tgx_IHuhSq3AJ5eI5OnqOPBNLWSHKh2a30DoXe8/edit?usp=sharing"",""นราธิวาส!J166"")"),0)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IFERROR(__xludf.DUMMYFUNCTION("IMPORTRANGE(""https://docs.google.com/spreadsheets/d/1IYY_tgx_IHuhSq3AJ5eI5OnqOPBNLWSHKh2a30DoXe8/edit?usp=sharing"",""นราธิวาส!J166"")"),0)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IFERROR(__xludf.DUMMYFUNCTION("IMPORTRANGE(""https://docs.google.com/spreadsheets/d/1IYY_tgx_IHuhSq3AJ5eI5OnqOPBNLWSHKh2a30DoXe8/edit?usp=sharing"",""นราธิวาส!J166"")"),0)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IFERROR(__xludf.DUMMYFUNCTION("IMPORTRANGE(""https://docs.google.com/spreadsheets/d/1IYY_tgx_IHuhSq3AJ5eI5OnqOPBNLWSHKh2a30DoXe8/edit?usp=sharing"",""นราธิวาส!J166"")"),0)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IFERROR(__xludf.DUMMYFUNCTION("IMPORTRANGE(""https://docs.google.com/spreadsheets/d/1IYY_tgx_IHuhSq3AJ5eI5OnqOPBNLWSHKh2a30DoXe8/edit?usp=sharing"",""นราธิวาส!I263"")"),0)</f>
        <v>0</v>
      </c>
      <c r="J368" s="194">
        <f ca="1">IFERROR(__xludf.DUMMYFUNCTION("IMPORTRANGE(""https://docs.google.com/spreadsheets/d/1IYY_tgx_IHuhSq3AJ5eI5OnqOPBNLWSHKh2a30DoXe8/edit?usp=sharing"",""นราธิวาส!J263"")"),0)</f>
        <v>0</v>
      </c>
      <c r="K368" s="167">
        <f t="shared" ca="1" si="105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IFERROR(__xludf.DUMMYFUNCTION("IMPORTRANGE(""https://docs.google.com/spreadsheets/d/1IYY_tgx_IHuhSq3AJ5eI5OnqOPBNLWSHKh2a30DoXe8/edit?usp=sharing"",""นราธิวาส!I164"")"),0)</f>
        <v>0</v>
      </c>
      <c r="J369" s="210">
        <f ca="1">IFERROR(__xludf.DUMMYFUNCTION("IMPORTRANGE(""https://docs.google.com/spreadsheets/d/1IYY_tgx_IHuhSq3AJ5eI5OnqOPBNLWSHKh2a30DoXe8/edit?usp=sharing"",""นราธิวาส!J164"")"),0)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IFERROR(__xludf.DUMMYFUNCTION("IMPORTRANGE(""https://docs.google.com/spreadsheets/d/1IYY_tgx_IHuhSq3AJ5eI5OnqOPBNLWSHKh2a30DoXe8/edit?usp=sharing"",""นราธิวาส!I265"")"),0)</f>
        <v>0</v>
      </c>
      <c r="J370" s="210">
        <f ca="1">IFERROR(__xludf.DUMMYFUNCTION("IMPORTRANGE(""https://docs.google.com/spreadsheets/d/1IYY_tgx_IHuhSq3AJ5eI5OnqOPBNLWSHKh2a30DoXe8/edit?usp=sharing"",""นราธิวาส!J265"")"),0)</f>
        <v>0</v>
      </c>
      <c r="K370" s="167">
        <f t="shared" ca="1" si="105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IFERROR(__xludf.DUMMYFUNCTION("IMPORTRANGE(""https://docs.google.com/spreadsheets/d/1IYY_tgx_IHuhSq3AJ5eI5OnqOPBNLWSHKh2a30DoXe8/edit?usp=sharing"",""นราธิวาส!I164"")"),0)</f>
        <v>0</v>
      </c>
      <c r="J371" s="195">
        <f ca="1">IFERROR(__xludf.DUMMYFUNCTION("IMPORTRANGE(""https://docs.google.com/spreadsheets/d/1IYY_tgx_IHuhSq3AJ5eI5OnqOPBNLWSHKh2a30DoXe8/edit?usp=sharing"",""นราธิวาส!J164"")"),0)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IFERROR(__xludf.DUMMYFUNCTION("IMPORTRANGE(""https://docs.google.com/spreadsheets/d/1IYY_tgx_IHuhSq3AJ5eI5OnqOPBNLWSHKh2a30DoXe8/edit?usp=sharing"",""นราธิวาส!I267"")"),0)</f>
        <v>0</v>
      </c>
      <c r="J372" s="195">
        <f ca="1">IFERROR(__xludf.DUMMYFUNCTION("IMPORTRANGE(""https://docs.google.com/spreadsheets/d/1IYY_tgx_IHuhSq3AJ5eI5OnqOPBNLWSHKh2a30DoXe8/edit?usp=sharing"",""นราธิวาส!J267"")"),0)</f>
        <v>0</v>
      </c>
      <c r="K372" s="167">
        <f t="shared" ca="1" si="105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IFERROR(__xludf.DUMMYFUNCTION("IMPORTRANGE(""https://docs.google.com/spreadsheets/d/1IYY_tgx_IHuhSq3AJ5eI5OnqOPBNLWSHKh2a30DoXe8/edit?usp=sharing"",""นราธิวาส!I164"")"),0)</f>
        <v>0</v>
      </c>
      <c r="J373" s="210">
        <f ca="1">IFERROR(__xludf.DUMMYFUNCTION("IMPORTRANGE(""https://docs.google.com/spreadsheets/d/1IYY_tgx_IHuhSq3AJ5eI5OnqOPBNLWSHKh2a30DoXe8/edit?usp=sharing"",""นราธิวาส!J164"")"),0)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IFERROR(__xludf.DUMMYFUNCTION("IMPORTRANGE(""https://docs.google.com/spreadsheets/d/1IYY_tgx_IHuhSq3AJ5eI5OnqOPBNLWSHKh2a30DoXe8/edit?usp=sharing"",""นราธิวาส!I164"")"),0)</f>
        <v>0</v>
      </c>
      <c r="J374" s="194">
        <f ca="1">IFERROR(__xludf.DUMMYFUNCTION("IMPORTRANGE(""https://docs.google.com/spreadsheets/d/1IYY_tgx_IHuhSq3AJ5eI5OnqOPBNLWSHKh2a30DoXe8/edit?usp=sharing"",""นราธิวาส!J164"")"),0)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IFERROR(__xludf.DUMMYFUNCTION("IMPORTRANGE(""https://docs.google.com/spreadsheets/d/1IYY_tgx_IHuhSq3AJ5eI5OnqOPBNLWSHKh2a30DoXe8/edit?usp=sharing"",""นราธิวาส!I270"")"),0)</f>
        <v>0</v>
      </c>
      <c r="J375" s="194">
        <f ca="1">IFERROR(__xludf.DUMMYFUNCTION("IMPORTRANGE(""https://docs.google.com/spreadsheets/d/1IYY_tgx_IHuhSq3AJ5eI5OnqOPBNLWSHKh2a30DoXe8/edit?usp=sharing"",""นราธิวาส!J270"")"),0)</f>
        <v>0</v>
      </c>
      <c r="K375" s="167">
        <f t="shared" ref="K375:K377" ca="1" si="106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IFERROR(__xludf.DUMMYFUNCTION("IMPORTRANGE(""https://docs.google.com/spreadsheets/d/1IYY_tgx_IHuhSq3AJ5eI5OnqOPBNLWSHKh2a30DoXe8/edit?usp=sharing"",""นราธิวาส!I271"")"),0)</f>
        <v>0</v>
      </c>
      <c r="J376" s="195">
        <f ca="1">IFERROR(__xludf.DUMMYFUNCTION("IMPORTRANGE(""https://docs.google.com/spreadsheets/d/1IYY_tgx_IHuhSq3AJ5eI5OnqOPBNLWSHKh2a30DoXe8/edit?usp=sharing"",""นราธิวาส!J271"")"),0)</f>
        <v>0</v>
      </c>
      <c r="K376" s="167">
        <f t="shared" ca="1" si="106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IFERROR(__xludf.DUMMYFUNCTION("IMPORTRANGE(""https://docs.google.com/spreadsheets/d/1IYY_tgx_IHuhSq3AJ5eI5OnqOPBNLWSHKh2a30DoXe8/edit?usp=sharing"",""นราธิวาส!I272"")"),0)</f>
        <v>0</v>
      </c>
      <c r="J377" s="210">
        <f ca="1">IFERROR(__xludf.DUMMYFUNCTION("IMPORTRANGE(""https://docs.google.com/spreadsheets/d/1IYY_tgx_IHuhSq3AJ5eI5OnqOPBNLWSHKh2a30DoXe8/edit?usp=sharing"",""นราธิวาส!J272"")"),0)</f>
        <v>0</v>
      </c>
      <c r="K377" s="167">
        <f t="shared" ca="1" si="106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IFERROR(__xludf.DUMMYFUNCTION("IMPORTRANGE(""https://docs.google.com/spreadsheets/d/1IYY_tgx_IHuhSq3AJ5eI5OnqOPBNLWSHKh2a30DoXe8/edit?usp=sharing"",""นราธิวาส!J273"")"),0)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IFERROR(__xludf.DUMMYFUNCTION("IMPORTRANGE(""https://docs.google.com/spreadsheets/d/1IYY_tgx_IHuhSq3AJ5eI5OnqOPBNLWSHKh2a30DoXe8/edit?usp=sharing"",""นราธิวาส!J274"")"),0)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IFERROR(__xludf.DUMMYFUNCTION("IMPORTRANGE(""https://docs.google.com/spreadsheets/d/1IYY_tgx_IHuhSq3AJ5eI5OnqOPBNLWSHKh2a30DoXe8/edit?usp=sharing"",""นราธิวาส!J275"")"),100)</f>
        <v>100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IFERROR(__xludf.DUMMYFUNCTION("IMPORTRANGE(""https://docs.google.com/spreadsheets/d/1IYY_tgx_IHuhSq3AJ5eI5OnqOPBNLWSHKh2a30DoXe8/edit?usp=sharing"",""นราธิวาส!M275"")"),127660)</f>
        <v>127660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IFERROR(__xludf.DUMMYFUNCTION("IMPORTRANGE(""https://docs.google.com/spreadsheets/d/1IYY_tgx_IHuhSq3AJ5eI5OnqOPBNLWSHKh2a30DoXe8/edit?usp=sharing"",""นราธิวาส!L277"")"),0)</f>
        <v>0</v>
      </c>
      <c r="M382" s="168"/>
      <c r="N382" s="168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IFERROR(__xludf.DUMMYFUNCTION("IMPORTRANGE(""https://docs.google.com/spreadsheets/d/1IYY_tgx_IHuhSq3AJ5eI5OnqOPBNLWSHKh2a30DoXe8/edit?usp=sharing"",""นราธิวาส!M278"")"),127660)</f>
        <v>127660</v>
      </c>
      <c r="O383" s="169">
        <f t="shared" ca="1" si="108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IFERROR(__xludf.DUMMYFUNCTION("IMPORTRANGE(""https://docs.google.com/spreadsheets/d/1IYY_tgx_IHuhSq3AJ5eI5OnqOPBNLWSHKh2a30DoXe8/edit?usp=sharing"",""นราธิวาส!L279"")"),0)</f>
        <v>0</v>
      </c>
      <c r="M384" s="175"/>
      <c r="N384" s="175">
        <f ca="1">IFERROR(__xludf.DUMMYFUNCTION("IMPORTRANGE(""https://docs.google.com/spreadsheets/d/1IYY_tgx_IHuhSq3AJ5eI5OnqOPBNLWSHKh2a30DoXe8/edit?usp=sharing"",""นราธิวาส!M279"")"),0)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IFERROR(__xludf.DUMMYFUNCTION("IMPORTRANGE(""https://docs.google.com/spreadsheets/d/1IYY_tgx_IHuhSq3AJ5eI5OnqOPBNLWSHKh2a30DoXe8/edit?usp=sharing"",""นราธิวาส!L280"")"),127660)</f>
        <v>127660</v>
      </c>
      <c r="M385" s="175"/>
      <c r="N385" s="172">
        <f ca="1">IFERROR(__xludf.DUMMYFUNCTION("IMPORTRANGE(""https://docs.google.com/spreadsheets/d/1IYY_tgx_IHuhSq3AJ5eI5OnqOPBNLWSHKh2a30DoXe8/edit?usp=sharing"",""นราธิวาส!M280"")"),127660)</f>
        <v>127660</v>
      </c>
      <c r="O385" s="175">
        <f t="shared" ca="1" si="108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IFERROR(__xludf.DUMMYFUNCTION("IMPORTRANGE(""https://docs.google.com/spreadsheets/d/1IYY_tgx_IHuhSq3AJ5eI5OnqOPBNLWSHKh2a30DoXe8/edit?usp=sharing"",""นราธิวาส!M282"")"),62500)</f>
        <v>62500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IFERROR(__xludf.DUMMYFUNCTION("IMPORTRANGE(""https://docs.google.com/spreadsheets/d/1IYY_tgx_IHuhSq3AJ5eI5OnqOPBNLWSHKh2a30DoXe8/edit?usp=sharing"",""นราธิวาส!M284"")"),23760)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IFERROR(__xludf.DUMMYFUNCTION("IMPORTRANGE(""https://docs.google.com/spreadsheets/d/1IYY_tgx_IHuhSq3AJ5eI5OnqOPBNLWSHKh2a30DoXe8/edit?usp=sharing"",""นราธิวาส!J286"")"),0)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IFERROR(__xludf.DUMMYFUNCTION("IMPORTRANGE(""https://docs.google.com/spreadsheets/d/1IYY_tgx_IHuhSq3AJ5eI5OnqOPBNLWSHKh2a30DoXe8/edit?usp=sharing"",""นราธิวาส!J287"")"),1)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IFERROR(__xludf.DUMMYFUNCTION("IMPORTRANGE(""https://docs.google.com/spreadsheets/d/1IYY_tgx_IHuhSq3AJ5eI5OnqOPBNLWSHKh2a30DoXe8/edit?usp=sharing"",""นราธิวาส!J288"")"),1)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IFERROR(__xludf.DUMMYFUNCTION("IMPORTRANGE(""https://docs.google.com/spreadsheets/d/1IYY_tgx_IHuhSq3AJ5eI5OnqOPBNLWSHKh2a30DoXe8/edit?usp=sharing"",""นราธิวาส!J289"")"),1)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IFERROR(__xludf.DUMMYFUNCTION("IMPORTRANGE(""https://docs.google.com/spreadsheets/d/1IYY_tgx_IHuhSq3AJ5eI5OnqOPBNLWSHKh2a30DoXe8/edit?usp=sharing"",""นราธิวาส!I291"")"),10)</f>
        <v>10</v>
      </c>
      <c r="J396" s="204">
        <f ca="1">IFERROR(__xludf.DUMMYFUNCTION("IMPORTRANGE(""https://docs.google.com/spreadsheets/d/1IYY_tgx_IHuhSq3AJ5eI5OnqOPBNLWSHKh2a30DoXe8/edit?usp=sharing"",""นราธิวาส!J291"")"),10)</f>
        <v>10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IFERROR(__xludf.DUMMYFUNCTION("IMPORTRANGE(""https://docs.google.com/spreadsheets/d/1IYY_tgx_IHuhSq3AJ5eI5OnqOPBNLWSHKh2a30DoXe8/edit?usp=sharing"",""นราธิวาส!I292"")"),100)</f>
        <v>100</v>
      </c>
      <c r="J397" s="204">
        <f ca="1">IFERROR(__xludf.DUMMYFUNCTION("IMPORTRANGE(""https://docs.google.com/spreadsheets/d/1IYY_tgx_IHuhSq3AJ5eI5OnqOPBNLWSHKh2a30DoXe8/edit?usp=sharing"",""นราธิวาส!J292"")"),100)</f>
        <v>100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IFERROR(__xludf.DUMMYFUNCTION("IMPORTRANGE(""https://docs.google.com/spreadsheets/d/1IYY_tgx_IHuhSq3AJ5eI5OnqOPBNLWSHKh2a30DoXe8/edit?usp=sharing"",""นราธิวาส!I293"")"),10)</f>
        <v>10</v>
      </c>
      <c r="J398" s="204">
        <f ca="1">IFERROR(__xludf.DUMMYFUNCTION("IMPORTRANGE(""https://docs.google.com/spreadsheets/d/1IYY_tgx_IHuhSq3AJ5eI5OnqOPBNLWSHKh2a30DoXe8/edit?usp=sharing"",""นราธิวาส!J293"")"),10)</f>
        <v>10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IFERROR(__xludf.DUMMYFUNCTION("IMPORTRANGE(""https://docs.google.com/spreadsheets/d/1IYY_tgx_IHuhSq3AJ5eI5OnqOPBNLWSHKh2a30DoXe8/edit?usp=sharing"",""นราธิวาส!J294"")"),0)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IFERROR(__xludf.DUMMYFUNCTION("IMPORTRANGE(""https://docs.google.com/spreadsheets/d/1IYY_tgx_IHuhSq3AJ5eI5OnqOPBNLWSHKh2a30DoXe8/edit?usp=sharing"",""นราธิวาส!J295"")"),0)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IFERROR(__xludf.DUMMYFUNCTION("IMPORTRANGE(""https://docs.google.com/spreadsheets/d/1IYY_tgx_IHuhSq3AJ5eI5OnqOPBNLWSHKh2a30DoXe8/edit?usp=sharing"",""นราธิวาส!M296"")"),195740)</f>
        <v>195740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IFERROR(__xludf.DUMMYFUNCTION("IMPORTRANGE(""https://docs.google.com/spreadsheets/d/1IYY_tgx_IHuhSq3AJ5eI5OnqOPBNLWSHKh2a30DoXe8/edit?usp=sharing"",""นราธิวาส!L298"")"),0)</f>
        <v>0</v>
      </c>
      <c r="M403" s="168"/>
      <c r="N403" s="175">
        <f ca="1">IFERROR(__xludf.DUMMYFUNCTION("IMPORTRANGE(""https://docs.google.com/spreadsheets/d/1IYY_tgx_IHuhSq3AJ5eI5OnqOPBNLWSHKh2a30DoXe8/edit?usp=sharing"",""นราธิวาส!M298"")"),0)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5">
        <f ca="1">IFERROR(__xludf.DUMMYFUNCTION("IMPORTRANGE(""https://docs.google.com/spreadsheets/d/1IYY_tgx_IHuhSq3AJ5eI5OnqOPBNLWSHKh2a30DoXe8/edit?usp=sharing"",""นราธิวาส!M299"")"),195740)</f>
        <v>195740</v>
      </c>
      <c r="O404" s="175">
        <f t="shared" ca="1" si="111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IFERROR(__xludf.DUMMYFUNCTION("IMPORTRANGE(""https://docs.google.com/spreadsheets/d/1IYY_tgx_IHuhSq3AJ5eI5OnqOPBNLWSHKh2a30DoXe8/edit?usp=sharing"",""นราธิวาส!L300"")"),0)</f>
        <v>0</v>
      </c>
      <c r="M405" s="175"/>
      <c r="N405" s="175">
        <f ca="1">IFERROR(__xludf.DUMMYFUNCTION("IMPORTRANGE(""https://docs.google.com/spreadsheets/d/1IYY_tgx_IHuhSq3AJ5eI5OnqOPBNLWSHKh2a30DoXe8/edit?usp=sharing"",""นราธิวาส!M300"")"),0)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IFERROR(__xludf.DUMMYFUNCTION("IMPORTRANGE(""https://docs.google.com/spreadsheets/d/1IYY_tgx_IHuhSq3AJ5eI5OnqOPBNLWSHKh2a30DoXe8/edit?usp=sharing"",""นราธิวาส!L301"")"),195740)</f>
        <v>195740</v>
      </c>
      <c r="M406" s="175"/>
      <c r="N406" s="175">
        <f ca="1">IFERROR(__xludf.DUMMYFUNCTION("IMPORTRANGE(""https://docs.google.com/spreadsheets/d/1IYY_tgx_IHuhSq3AJ5eI5OnqOPBNLWSHKh2a30DoXe8/edit?usp=sharing"",""นราธิวาส!M301"")"),195740)</f>
        <v>195740</v>
      </c>
      <c r="O406" s="175">
        <f t="shared" ca="1" si="111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IFERROR(__xludf.DUMMYFUNCTION("IMPORTRANGE(""https://docs.google.com/spreadsheets/d/1IYY_tgx_IHuhSq3AJ5eI5OnqOPBNLWSHKh2a30DoXe8/edit?usp=sharing"",""นราธิวาส!M305"")"),32340)</f>
        <v>32340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IFERROR(__xludf.DUMMYFUNCTION("IMPORTRANGE(""https://docs.google.com/spreadsheets/d/1IYY_tgx_IHuhSq3AJ5eI5OnqOPBNLWSHKh2a30DoXe8/edit?usp=sharing"",""นราธิวาส!J307"")"),0)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IFERROR(__xludf.DUMMYFUNCTION("IMPORTRANGE(""https://docs.google.com/spreadsheets/d/1IYY_tgx_IHuhSq3AJ5eI5OnqOPBNLWSHKh2a30DoXe8/edit?usp=sharing"",""นราธิวาส!J308"")"),1)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IFERROR(__xludf.DUMMYFUNCTION("IMPORTRANGE(""https://docs.google.com/spreadsheets/d/1IYY_tgx_IHuhSq3AJ5eI5OnqOPBNLWSHKh2a30DoXe8/edit?usp=sharing"",""นราธิวาส!J309"")"),1)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IFERROR(__xludf.DUMMYFUNCTION("IMPORTRANGE(""https://docs.google.com/spreadsheets/d/1IYY_tgx_IHuhSq3AJ5eI5OnqOPBNLWSHKh2a30DoXe8/edit?usp=sharing"",""นราธิวาส!J310"")"),1)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IFERROR(__xludf.DUMMYFUNCTION("IMPORTRANGE(""https://docs.google.com/spreadsheets/d/1IYY_tgx_IHuhSq3AJ5eI5OnqOPBNLWSHKh2a30DoXe8/edit?usp=sharing"",""นราธิวาส!I311"")"),55)</f>
        <v>55</v>
      </c>
      <c r="J416" s="207">
        <f ca="1">IFERROR(__xludf.DUMMYFUNCTION("IMPORTRANGE(""https://docs.google.com/spreadsheets/d/1IYY_tgx_IHuhSq3AJ5eI5OnqOPBNLWSHKh2a30DoXe8/edit?usp=sharing"",""นราธิวาส!J311"")"),55)</f>
        <v>55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IFERROR(__xludf.DUMMYFUNCTION("IMPORTRANGE(""https://docs.google.com/spreadsheets/d/1IYY_tgx_IHuhSq3AJ5eI5OnqOPBNLWSHKh2a30DoXe8/edit?usp=sharing"",""นราธิวาส!J328"")"),0)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IFERROR(__xludf.DUMMYFUNCTION("IMPORTRANGE(""https://docs.google.com/spreadsheets/d/1IYY_tgx_IHuhSq3AJ5eI5OnqOPBNLWSHKh2a30DoXe8/edit?usp=sharing"",""นราธิวาส!J329"")"),0)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IFERROR(__xludf.DUMMYFUNCTION("IMPORTRANGE(""https://docs.google.com/spreadsheets/d/1IYY_tgx_IHuhSq3AJ5eI5OnqOPBNLWSHKh2a30DoXe8/edit?usp=sharing"",""นราธิวาส!L330"")"),1012800)</f>
        <v>1012800</v>
      </c>
      <c r="M435" s="418"/>
      <c r="N435" s="418">
        <f ca="1">IFERROR(__xludf.DUMMYFUNCTION("IMPORTRANGE(""https://docs.google.com/spreadsheets/d/1IYY_tgx_IHuhSq3AJ5eI5OnqOPBNLWSHKh2a30DoXe8/edit?usp=sharing"",""นราธิวาส!M330"")"),1002203.45)</f>
        <v>1002203.45</v>
      </c>
      <c r="O435" s="418">
        <f t="shared" ref="O435:O439" ca="1" si="113">+IF(L435&gt;0,N435*100/L435,0)</f>
        <v>98.953737164296996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IFERROR(__xludf.DUMMYFUNCTION("IMPORTRANGE(""https://docs.google.com/spreadsheets/d/1IYY_tgx_IHuhSq3AJ5eI5OnqOPBNLWSHKh2a30DoXe8/edit?usp=sharing"",""นราธิวาส!L331"")"),0)</f>
        <v>0</v>
      </c>
      <c r="M436" s="168"/>
      <c r="N436" s="175">
        <f ca="1">IFERROR(__xludf.DUMMYFUNCTION("IMPORTRANGE(""https://docs.google.com/spreadsheets/d/1IYY_tgx_IHuhSq3AJ5eI5OnqOPBNLWSHKh2a30DoXe8/edit?usp=sharing"",""นราธิวาส!M331"")"),0)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270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IFERROR(__xludf.DUMMYFUNCTION("IMPORTRANGE(""https://docs.google.com/spreadsheets/d/1IYY_tgx_IHuhSq3AJ5eI5OnqOPBNLWSHKh2a30DoXe8/edit?usp=sharing"",""นราธิวาส!L332"")"),1012800)</f>
        <v>1012800</v>
      </c>
      <c r="M437" s="169"/>
      <c r="N437" s="175">
        <f ca="1">IFERROR(__xludf.DUMMYFUNCTION("IMPORTRANGE(""https://docs.google.com/spreadsheets/d/1IYY_tgx_IHuhSq3AJ5eI5OnqOPBNLWSHKh2a30DoXe8/edit?usp=sharing"",""นราธิวาส!M332"")"),1002203.45)</f>
        <v>1002203.45</v>
      </c>
      <c r="O437" s="175">
        <f t="shared" ca="1" si="113"/>
        <v>98.953737164296996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IFERROR(__xludf.DUMMYFUNCTION("IMPORTRANGE(""https://docs.google.com/spreadsheets/d/1IYY_tgx_IHuhSq3AJ5eI5OnqOPBNLWSHKh2a30DoXe8/edit?usp=sharing"",""นราธิวาส!L333"")"),0)</f>
        <v>0</v>
      </c>
      <c r="M438" s="175"/>
      <c r="N438" s="175">
        <f ca="1">IFERROR(__xludf.DUMMYFUNCTION("IMPORTRANGE(""https://docs.google.com/spreadsheets/d/1IYY_tgx_IHuhSq3AJ5eI5OnqOPBNLWSHKh2a30DoXe8/edit?usp=sharing"",""นราธิวาส!M333"")"),0)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IFERROR(__xludf.DUMMYFUNCTION("IMPORTRANGE(""https://docs.google.com/spreadsheets/d/1IYY_tgx_IHuhSq3AJ5eI5OnqOPBNLWSHKh2a30DoXe8/edit?usp=sharing"",""นราธิวาส!L334"")"),108800)</f>
        <v>108800</v>
      </c>
      <c r="M439" s="175"/>
      <c r="N439" s="175">
        <f ca="1">IFERROR(__xludf.DUMMYFUNCTION("IMPORTRANGE(""https://docs.google.com/spreadsheets/d/1IYY_tgx_IHuhSq3AJ5eI5OnqOPBNLWSHKh2a30DoXe8/edit?usp=sharing"",""นราธิวาส!M334"")"),98203.45)</f>
        <v>98203.45</v>
      </c>
      <c r="O439" s="175">
        <f t="shared" ca="1" si="113"/>
        <v>90.260523897058818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IFERROR(__xludf.DUMMYFUNCTION("IMPORTRANGE(""https://docs.google.com/spreadsheets/d/1IYY_tgx_IHuhSq3AJ5eI5OnqOPBNLWSHKh2a30DoXe8/edit?usp=sharing"",""นราธิวาส!M338"")"),78003.45)</f>
        <v>78003.45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IFERROR(__xludf.DUMMYFUNCTION("IMPORTRANGE(""https://docs.google.com/spreadsheets/d/1IYY_tgx_IHuhSq3AJ5eI5OnqOPBNLWSHKh2a30DoXe8/edit?usp=sharing"",""นราธิวาส!J340"")"),0)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IFERROR(__xludf.DUMMYFUNCTION("IMPORTRANGE(""https://docs.google.com/spreadsheets/d/1IYY_tgx_IHuhSq3AJ5eI5OnqOPBNLWSHKh2a30DoXe8/edit?usp=sharing"",""นราธิวาส!J341"")"),1)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IFERROR(__xludf.DUMMYFUNCTION("IMPORTRANGE(""https://docs.google.com/spreadsheets/d/1IYY_tgx_IHuhSq3AJ5eI5OnqOPBNLWSHKh2a30DoXe8/edit?usp=sharing"",""นราธิวาส!J342"")"),1)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IFERROR(__xludf.DUMMYFUNCTION("IMPORTRANGE(""https://docs.google.com/spreadsheets/d/1IYY_tgx_IHuhSq3AJ5eI5OnqOPBNLWSHKh2a30DoXe8/edit?usp=sharing"",""นราธิวาส!J343"")"),1)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7">
        <f ca="1">IFERROR(__xludf.DUMMYFUNCTION("IMPORTRANGE(""https://docs.google.com/spreadsheets/d/1IYY_tgx_IHuhSq3AJ5eI5OnqOPBNLWSHKh2a30DoXe8/edit?usp=sharing"",""นราธิวาส!J344"")"),10)</f>
        <v>10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5">
        <f ca="1">IFERROR(__xludf.DUMMYFUNCTION("IMPORTRANGE(""https://docs.google.com/spreadsheets/d/1IYY_tgx_IHuhSq3AJ5eI5OnqOPBNLWSHKh2a30DoXe8/edit?usp=sharing"",""นราธิวาส!J345"")"),10)</f>
        <v>10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4">
        <f ca="1">IFERROR(__xludf.DUMMYFUNCTION("IMPORTRANGE(""https://docs.google.com/spreadsheets/d/1IYY_tgx_IHuhSq3AJ5eI5OnqOPBNLWSHKh2a30DoXe8/edit?usp=sharing"",""นราธิวาส!J346"")"),0)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IFERROR(__xludf.DUMMYFUNCTION("IMPORTRANGE(""https://docs.google.com/spreadsheets/d/1IYY_tgx_IHuhSq3AJ5eI5OnqOPBNLWSHKh2a30DoXe8/edit?usp=sharing"",""นราธิวาส!I347"")"),0)</f>
        <v>0</v>
      </c>
      <c r="J452" s="194">
        <f ca="1">IFERROR(__xludf.DUMMYFUNCTION("IMPORTRANGE(""https://docs.google.com/spreadsheets/d/1IYY_tgx_IHuhSq3AJ5eI5OnqOPBNLWSHKh2a30DoXe8/edit?usp=sharing"",""นราธิวาส!J347"")"),0)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IFERROR(__xludf.DUMMYFUNCTION("IMPORTRANGE(""https://docs.google.com/spreadsheets/d/1IYY_tgx_IHuhSq3AJ5eI5OnqOPBNLWSHKh2a30DoXe8/edit?usp=sharing"",""นราธิวาส!J348"")"),0)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IFERROR(__xludf.DUMMYFUNCTION("IMPORTRANGE(""https://docs.google.com/spreadsheets/d/1IYY_tgx_IHuhSq3AJ5eI5OnqOPBNLWSHKh2a30DoXe8/edit?usp=sharing"",""นราธิวาส!J349"")"),0)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IFERROR(__xludf.DUMMYFUNCTION("IMPORTRANGE(""https://docs.google.com/spreadsheets/d/1IYY_tgx_IHuhSq3AJ5eI5OnqOPBNLWSHKh2a30DoXe8/edit?usp=sharing"",""นราธิวาส!L350"")"),54258)</f>
        <v>54258</v>
      </c>
      <c r="M455" s="379"/>
      <c r="N455" s="379">
        <f ca="1">IFERROR(__xludf.DUMMYFUNCTION("IMPORTRANGE(""https://docs.google.com/spreadsheets/d/1IYY_tgx_IHuhSq3AJ5eI5OnqOPBNLWSHKh2a30DoXe8/edit?usp=sharing"",""นราธิวาส!M350"")"),54258)</f>
        <v>54258</v>
      </c>
      <c r="O455" s="379">
        <f t="shared" ref="O455:O459" ca="1" si="115">+IF(L455&gt;0,N455*100/L455,0)</f>
        <v>100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IFERROR(__xludf.DUMMYFUNCTION("IMPORTRANGE(""https://docs.google.com/spreadsheets/d/1IYY_tgx_IHuhSq3AJ5eI5OnqOPBNLWSHKh2a30DoXe8/edit?usp=sharing"",""นราธิวาส!L351"")"),0)</f>
        <v>0</v>
      </c>
      <c r="M456" s="168"/>
      <c r="N456" s="175">
        <f ca="1">IFERROR(__xludf.DUMMYFUNCTION("IMPORTRANGE(""https://docs.google.com/spreadsheets/d/1IYY_tgx_IHuhSq3AJ5eI5OnqOPBNLWSHKh2a30DoXe8/edit?usp=sharing"",""นราธิวาส!M351"")"),0)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5">
        <f ca="1">IFERROR(__xludf.DUMMYFUNCTION("IMPORTRANGE(""https://docs.google.com/spreadsheets/d/1IYY_tgx_IHuhSq3AJ5eI5OnqOPBNLWSHKh2a30DoXe8/edit?usp=sharing"",""นราธิวาส!M352"")"),54258)</f>
        <v>54258</v>
      </c>
      <c r="O457" s="175">
        <f t="shared" ca="1" si="115"/>
        <v>100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IFERROR(__xludf.DUMMYFUNCTION("IMPORTRANGE(""https://docs.google.com/spreadsheets/d/1IYY_tgx_IHuhSq3AJ5eI5OnqOPBNLWSHKh2a30DoXe8/edit?usp=sharing"",""นราธิวาส!L353"")"),0)</f>
        <v>0</v>
      </c>
      <c r="M458" s="175"/>
      <c r="N458" s="175">
        <f ca="1">IFERROR(__xludf.DUMMYFUNCTION("IMPORTRANGE(""https://docs.google.com/spreadsheets/d/1IYY_tgx_IHuhSq3AJ5eI5OnqOPBNLWSHKh2a30DoXe8/edit?usp=sharing"",""นราธิวาส!M353"")"),0)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IFERROR(__xludf.DUMMYFUNCTION("IMPORTRANGE(""https://docs.google.com/spreadsheets/d/1IYY_tgx_IHuhSq3AJ5eI5OnqOPBNLWSHKh2a30DoXe8/edit?usp=sharing"",""นราธิวาส!L354"")"),54258)</f>
        <v>54258</v>
      </c>
      <c r="M459" s="175"/>
      <c r="N459" s="175">
        <f ca="1">IFERROR(__xludf.DUMMYFUNCTION("IMPORTRANGE(""https://docs.google.com/spreadsheets/d/1IYY_tgx_IHuhSq3AJ5eI5OnqOPBNLWSHKh2a30DoXe8/edit?usp=sharing"",""นราธิวาส!M354"")"),54258)</f>
        <v>54258</v>
      </c>
      <c r="O459" s="175">
        <f t="shared" ca="1" si="115"/>
        <v>100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IFERROR(__xludf.DUMMYFUNCTION("IMPORTRANGE(""https://docs.google.com/spreadsheets/d/1IYY_tgx_IHuhSq3AJ5eI5OnqOPBNLWSHKh2a30DoXe8/edit?usp=sharing"",""นราธิวาส!M355"")"),0)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IFERROR(__xludf.DUMMYFUNCTION("IMPORTRANGE(""https://docs.google.com/spreadsheets/d/1IYY_tgx_IHuhSq3AJ5eI5OnqOPBNLWSHKh2a30DoXe8/edit?usp=sharing"",""นราธิวาส!M356"")"),0)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IFERROR(__xludf.DUMMYFUNCTION("IMPORTRANGE(""https://docs.google.com/spreadsheets/d/1IYY_tgx_IHuhSq3AJ5eI5OnqOPBNLWSHKh2a30DoXe8/edit?usp=sharing"",""นราธิวาส!M358"")"),54258)</f>
        <v>54258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IFERROR(__xludf.DUMMYFUNCTION("IMPORTRANGE(""https://docs.google.com/spreadsheets/d/1IYY_tgx_IHuhSq3AJ5eI5OnqOPBNLWSHKh2a30DoXe8/edit?usp=sharing"",""นราธิวาส!I359"")"),3019)</f>
        <v>3019</v>
      </c>
      <c r="J464" s="273">
        <f ca="1">IFERROR(__xludf.DUMMYFUNCTION("IMPORTRANGE(""https://docs.google.com/spreadsheets/d/1IYY_tgx_IHuhSq3AJ5eI5OnqOPBNLWSHKh2a30DoXe8/edit?usp=sharing"",""นราธิวาส!J359"")"),3020)</f>
        <v>3020</v>
      </c>
      <c r="K464" s="274">
        <f t="shared" ref="K464:K515" ca="1" si="116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8">
        <f t="shared" ca="1" si="116"/>
        <v>100.03312355084465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IFERROR(__xludf.DUMMYFUNCTION("IMPORTRANGE(""https://docs.google.com/spreadsheets/d/1IYY_tgx_IHuhSq3AJ5eI5OnqOPBNLWSHKh2a30DoXe8/edit?usp=sharing"",""นราธิวาส!I362"")"),0)</f>
        <v>0</v>
      </c>
      <c r="J467" s="195">
        <f ca="1">IFERROR(__xludf.DUMMYFUNCTION("IMPORTRANGE(""https://docs.google.com/spreadsheets/d/1IYY_tgx_IHuhSq3AJ5eI5OnqOPBNLWSHKh2a30DoXe8/edit?usp=sharing"",""นราธิวาส!J362"")"),2999)</f>
        <v>2999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IFERROR(__xludf.DUMMYFUNCTION("IMPORTRANGE(""https://docs.google.com/spreadsheets/d/1IYY_tgx_IHuhSq3AJ5eI5OnqOPBNLWSHKh2a30DoXe8/edit?usp=sharing"",""นราธิวาส!I363"")"),0)</f>
        <v>0</v>
      </c>
      <c r="J468" s="195">
        <f ca="1">IFERROR(__xludf.DUMMYFUNCTION("IMPORTRANGE(""https://docs.google.com/spreadsheets/d/1IYY_tgx_IHuhSq3AJ5eI5OnqOPBNLWSHKh2a30DoXe8/edit?usp=sharing"",""นราธิวาส!J363"")"),894)</f>
        <v>894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IFERROR(__xludf.DUMMYFUNCTION("IMPORTRANGE(""https://docs.google.com/spreadsheets/d/1IYY_tgx_IHuhSq3AJ5eI5OnqOPBNLWSHKh2a30DoXe8/edit?usp=sharing"",""นราธิวาส!I364"")"),0)</f>
        <v>0</v>
      </c>
      <c r="J469" s="195">
        <f ca="1">IFERROR(__xludf.DUMMYFUNCTION("IMPORTRANGE(""https://docs.google.com/spreadsheets/d/1IYY_tgx_IHuhSq3AJ5eI5OnqOPBNLWSHKh2a30DoXe8/edit?usp=sharing"",""นราธิวาส!J364"")"),0)</f>
        <v>0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IFERROR(__xludf.DUMMYFUNCTION("IMPORTRANGE(""https://docs.google.com/spreadsheets/d/1IYY_tgx_IHuhSq3AJ5eI5OnqOPBNLWSHKh2a30DoXe8/edit?usp=sharing"",""นราธิวาส!I365"")"),0)</f>
        <v>0</v>
      </c>
      <c r="J470" s="195">
        <f ca="1">IFERROR(__xludf.DUMMYFUNCTION("IMPORTRANGE(""https://docs.google.com/spreadsheets/d/1IYY_tgx_IHuhSq3AJ5eI5OnqOPBNLWSHKh2a30DoXe8/edit?usp=sharing"",""นราธิวาส!J365"")"),0)</f>
        <v>0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IFERROR(__xludf.DUMMYFUNCTION("IMPORTRANGE(""https://docs.google.com/spreadsheets/d/1IYY_tgx_IHuhSq3AJ5eI5OnqOPBNLWSHKh2a30DoXe8/edit?usp=sharing"",""นราธิวาส!I366"")"),0)</f>
        <v>0</v>
      </c>
      <c r="J471" s="195">
        <f ca="1">IFERROR(__xludf.DUMMYFUNCTION("IMPORTRANGE(""https://docs.google.com/spreadsheets/d/1IYY_tgx_IHuhSq3AJ5eI5OnqOPBNLWSHKh2a30DoXe8/edit?usp=sharing"",""นราธิวาส!J366"")"),21)</f>
        <v>21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IFERROR(__xludf.DUMMYFUNCTION("IMPORTRANGE(""https://docs.google.com/spreadsheets/d/1IYY_tgx_IHuhSq3AJ5eI5OnqOPBNLWSHKh2a30DoXe8/edit?usp=sharing"",""นราธิวาส!I367"")"),0)</f>
        <v>0</v>
      </c>
      <c r="J472" s="195">
        <f ca="1">IFERROR(__xludf.DUMMYFUNCTION("IMPORTRANGE(""https://docs.google.com/spreadsheets/d/1IYY_tgx_IHuhSq3AJ5eI5OnqOPBNLWSHKh2a30DoXe8/edit?usp=sharing"",""นราธิวาส!J367"")"),8)</f>
        <v>8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8">
        <f t="shared" ca="1" si="116"/>
        <v>100.03312355084465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IFERROR(__xludf.DUMMYFUNCTION("IMPORTRANGE(""https://docs.google.com/spreadsheets/d/1IYY_tgx_IHuhSq3AJ5eI5OnqOPBNLWSHKh2a30DoXe8/edit?usp=sharing"",""นราธิวาส!I370"")"),0)</f>
        <v>0</v>
      </c>
      <c r="J475" s="195">
        <f ca="1">IFERROR(__xludf.DUMMYFUNCTION("IMPORTRANGE(""https://docs.google.com/spreadsheets/d/1IYY_tgx_IHuhSq3AJ5eI5OnqOPBNLWSHKh2a30DoXe8/edit?usp=sharing"",""นราธิวาส!J370"")"),2999)</f>
        <v>2999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IFERROR(__xludf.DUMMYFUNCTION("IMPORTRANGE(""https://docs.google.com/spreadsheets/d/1IYY_tgx_IHuhSq3AJ5eI5OnqOPBNLWSHKh2a30DoXe8/edit?usp=sharing"",""นราธิวาส!I371"")"),0)</f>
        <v>0</v>
      </c>
      <c r="J476" s="195">
        <f ca="1">IFERROR(__xludf.DUMMYFUNCTION("IMPORTRANGE(""https://docs.google.com/spreadsheets/d/1IYY_tgx_IHuhSq3AJ5eI5OnqOPBNLWSHKh2a30DoXe8/edit?usp=sharing"",""นราธิวาส!J371"")"),894)</f>
        <v>894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IFERROR(__xludf.DUMMYFUNCTION("IMPORTRANGE(""https://docs.google.com/spreadsheets/d/1IYY_tgx_IHuhSq3AJ5eI5OnqOPBNLWSHKh2a30DoXe8/edit?usp=sharing"",""นราธิวาส!I372"")"),0)</f>
        <v>0</v>
      </c>
      <c r="J477" s="195">
        <f ca="1">IFERROR(__xludf.DUMMYFUNCTION("IMPORTRANGE(""https://docs.google.com/spreadsheets/d/1IYY_tgx_IHuhSq3AJ5eI5OnqOPBNLWSHKh2a30DoXe8/edit?usp=sharing"",""นราธิวาส!J372"")"),0)</f>
        <v>0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IFERROR(__xludf.DUMMYFUNCTION("IMPORTRANGE(""https://docs.google.com/spreadsheets/d/1IYY_tgx_IHuhSq3AJ5eI5OnqOPBNLWSHKh2a30DoXe8/edit?usp=sharing"",""นราธิวาส!I373"")"),0)</f>
        <v>0</v>
      </c>
      <c r="J478" s="195">
        <f ca="1">IFERROR(__xludf.DUMMYFUNCTION("IMPORTRANGE(""https://docs.google.com/spreadsheets/d/1IYY_tgx_IHuhSq3AJ5eI5OnqOPBNLWSHKh2a30DoXe8/edit?usp=sharing"",""นราธิวาส!J373"")"),0)</f>
        <v>0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IFERROR(__xludf.DUMMYFUNCTION("IMPORTRANGE(""https://docs.google.com/spreadsheets/d/1IYY_tgx_IHuhSq3AJ5eI5OnqOPBNLWSHKh2a30DoXe8/edit?usp=sharing"",""นราธิวาส!I374"")"),0)</f>
        <v>0</v>
      </c>
      <c r="J479" s="195">
        <f ca="1">IFERROR(__xludf.DUMMYFUNCTION("IMPORTRANGE(""https://docs.google.com/spreadsheets/d/1IYY_tgx_IHuhSq3AJ5eI5OnqOPBNLWSHKh2a30DoXe8/edit?usp=sharing"",""นราธิวาส!J374"")"),21)</f>
        <v>21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IFERROR(__xludf.DUMMYFUNCTION("IMPORTRANGE(""https://docs.google.com/spreadsheets/d/1IYY_tgx_IHuhSq3AJ5eI5OnqOPBNLWSHKh2a30DoXe8/edit?usp=sharing"",""นราธิวาส!I375"")"),0)</f>
        <v>0</v>
      </c>
      <c r="J480" s="195">
        <f ca="1">IFERROR(__xludf.DUMMYFUNCTION("IMPORTRANGE(""https://docs.google.com/spreadsheets/d/1IYY_tgx_IHuhSq3AJ5eI5OnqOPBNLWSHKh2a30DoXe8/edit?usp=sharing"",""นราธิวาส!J375"")"),8)</f>
        <v>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8">
        <f t="shared" ca="1" si="116"/>
        <v>100.03312355084465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IFERROR(__xludf.DUMMYFUNCTION("IMPORTRANGE(""https://docs.google.com/spreadsheets/d/1IYY_tgx_IHuhSq3AJ5eI5OnqOPBNLWSHKh2a30DoXe8/edit?usp=sharing"",""นราธิวาส!I378"")"),0)</f>
        <v>0</v>
      </c>
      <c r="J483" s="195">
        <f ca="1">IFERROR(__xludf.DUMMYFUNCTION("IMPORTRANGE(""https://docs.google.com/spreadsheets/d/1IYY_tgx_IHuhSq3AJ5eI5OnqOPBNLWSHKh2a30DoXe8/edit?usp=sharing"",""นราธิวาส!J378"")"),2999)</f>
        <v>2999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IFERROR(__xludf.DUMMYFUNCTION("IMPORTRANGE(""https://docs.google.com/spreadsheets/d/1IYY_tgx_IHuhSq3AJ5eI5OnqOPBNLWSHKh2a30DoXe8/edit?usp=sharing"",""นราธิวาส!I379"")"),0)</f>
        <v>0</v>
      </c>
      <c r="J484" s="195">
        <f ca="1">IFERROR(__xludf.DUMMYFUNCTION("IMPORTRANGE(""https://docs.google.com/spreadsheets/d/1IYY_tgx_IHuhSq3AJ5eI5OnqOPBNLWSHKh2a30DoXe8/edit?usp=sharing"",""นราธิวาส!J379"")"),894)</f>
        <v>894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IFERROR(__xludf.DUMMYFUNCTION("IMPORTRANGE(""https://docs.google.com/spreadsheets/d/1IYY_tgx_IHuhSq3AJ5eI5OnqOPBNLWSHKh2a30DoXe8/edit?usp=sharing"",""นราธิวาส!I380"")"),0)</f>
        <v>0</v>
      </c>
      <c r="J485" s="195">
        <f ca="1">IFERROR(__xludf.DUMMYFUNCTION("IMPORTRANGE(""https://docs.google.com/spreadsheets/d/1IYY_tgx_IHuhSq3AJ5eI5OnqOPBNLWSHKh2a30DoXe8/edit?usp=sharing"",""นราธิวาส!J380"")"),0)</f>
        <v>0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IFERROR(__xludf.DUMMYFUNCTION("IMPORTRANGE(""https://docs.google.com/spreadsheets/d/1IYY_tgx_IHuhSq3AJ5eI5OnqOPBNLWSHKh2a30DoXe8/edit?usp=sharing"",""นราธิวาส!I381"")"),0)</f>
        <v>0</v>
      </c>
      <c r="J486" s="195">
        <f ca="1">IFERROR(__xludf.DUMMYFUNCTION("IMPORTRANGE(""https://docs.google.com/spreadsheets/d/1IYY_tgx_IHuhSq3AJ5eI5OnqOPBNLWSHKh2a30DoXe8/edit?usp=sharing"",""นราธิวาส!J381"")"),0)</f>
        <v>0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IFERROR(__xludf.DUMMYFUNCTION("IMPORTRANGE(""https://docs.google.com/spreadsheets/d/1IYY_tgx_IHuhSq3AJ5eI5OnqOPBNLWSHKh2a30DoXe8/edit?usp=sharing"",""นราธิวาส!I384"")"),0)</f>
        <v>0</v>
      </c>
      <c r="J489" s="195">
        <f ca="1">IFERROR(__xludf.DUMMYFUNCTION("IMPORTRANGE(""https://docs.google.com/spreadsheets/d/1IYY_tgx_IHuhSq3AJ5eI5OnqOPBNLWSHKh2a30DoXe8/edit?usp=sharing"",""นราธิวาส!J384"")"),21)</f>
        <v>21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IFERROR(__xludf.DUMMYFUNCTION("IMPORTRANGE(""https://docs.google.com/spreadsheets/d/1IYY_tgx_IHuhSq3AJ5eI5OnqOPBNLWSHKh2a30DoXe8/edit?usp=sharing"",""นราธิวาส!I385"")"),0)</f>
        <v>0</v>
      </c>
      <c r="J490" s="195">
        <f ca="1">IFERROR(__xludf.DUMMYFUNCTION("IMPORTRANGE(""https://docs.google.com/spreadsheets/d/1IYY_tgx_IHuhSq3AJ5eI5OnqOPBNLWSHKh2a30DoXe8/edit?usp=sharing"",""นราธิวาส!J385"")"),8)</f>
        <v>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IFERROR(__xludf.DUMMYFUNCTION("IMPORTRANGE(""https://docs.google.com/spreadsheets/d/1IYY_tgx_IHuhSq3AJ5eI5OnqOPBNLWSHKh2a30DoXe8/edit?usp=sharing"",""นราธิวาส!I386"")"),0)</f>
        <v>0</v>
      </c>
      <c r="J491" s="195">
        <f ca="1">IFERROR(__xludf.DUMMYFUNCTION("IMPORTRANGE(""https://docs.google.com/spreadsheets/d/1IYY_tgx_IHuhSq3AJ5eI5OnqOPBNLWSHKh2a30DoXe8/edit?usp=sharing"",""นราธิวาส!J386"")"),0)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IFERROR(__xludf.DUMMYFUNCTION("IMPORTRANGE(""https://docs.google.com/spreadsheets/d/1IYY_tgx_IHuhSq3AJ5eI5OnqOPBNLWSHKh2a30DoXe8/edit?usp=sharing"",""นราธิวาส!I387"")"),0)</f>
        <v>0</v>
      </c>
      <c r="J492" s="195">
        <f ca="1">IFERROR(__xludf.DUMMYFUNCTION("IMPORTRANGE(""https://docs.google.com/spreadsheets/d/1IYY_tgx_IHuhSq3AJ5eI5OnqOPBNLWSHKh2a30DoXe8/edit?usp=sharing"",""นราธิวาส!J387"")"),0)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IFERROR(__xludf.DUMMYFUNCTION("IMPORTRANGE(""https://docs.google.com/spreadsheets/d/1IYY_tgx_IHuhSq3AJ5eI5OnqOPBNLWSHKh2a30DoXe8/edit?usp=sharing"",""นราธิวาส!I388"")"),0)</f>
        <v>0</v>
      </c>
      <c r="J493" s="195">
        <f ca="1">IFERROR(__xludf.DUMMYFUNCTION("IMPORTRANGE(""https://docs.google.com/spreadsheets/d/1IYY_tgx_IHuhSq3AJ5eI5OnqOPBNLWSHKh2a30DoXe8/edit?usp=sharing"",""นราธิวาส!J388"")"),0)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6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7">
        <f t="shared" ca="1" si="116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8">
        <f t="shared" ca="1" si="116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IFERROR(__xludf.DUMMYFUNCTION("IMPORTRANGE(""https://docs.google.com/spreadsheets/d/1IYY_tgx_IHuhSq3AJ5eI5OnqOPBNLWSHKh2a30DoXe8/edit?usp=sharing"",""นราธิวาส!I395"")"),0)</f>
        <v>0</v>
      </c>
      <c r="J500" s="166">
        <f ca="1">IFERROR(__xludf.DUMMYFUNCTION("IMPORTRANGE(""https://docs.google.com/spreadsheets/d/1IYY_tgx_IHuhSq3AJ5eI5OnqOPBNLWSHKh2a30DoXe8/edit?usp=sharing"",""นราธิวาส!J395"")"),0)</f>
        <v>0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IFERROR(__xludf.DUMMYFUNCTION("IMPORTRANGE(""https://docs.google.com/spreadsheets/d/1IYY_tgx_IHuhSq3AJ5eI5OnqOPBNLWSHKh2a30DoXe8/edit?usp=sharing"",""นราธิวาส!I396"")"),0)</f>
        <v>0</v>
      </c>
      <c r="J501" s="166">
        <f ca="1">IFERROR(__xludf.DUMMYFUNCTION("IMPORTRANGE(""https://docs.google.com/spreadsheets/d/1IYY_tgx_IHuhSq3AJ5eI5OnqOPBNLWSHKh2a30DoXe8/edit?usp=sharing"",""นราธิวาส!J396"")"),0)</f>
        <v>0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IFERROR(__xludf.DUMMYFUNCTION("IMPORTRANGE(""https://docs.google.com/spreadsheets/d/1IYY_tgx_IHuhSq3AJ5eI5OnqOPBNLWSHKh2a30DoXe8/edit?usp=sharing"",""นราธิวาส!I397"")"),0)</f>
        <v>0</v>
      </c>
      <c r="J502" s="195">
        <f ca="1">IFERROR(__xludf.DUMMYFUNCTION("IMPORTRANGE(""https://docs.google.com/spreadsheets/d/1IYY_tgx_IHuhSq3AJ5eI5OnqOPBNLWSHKh2a30DoXe8/edit?usp=sharing"",""นราธิวาส!J397"")"),0)</f>
        <v>0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IFERROR(__xludf.DUMMYFUNCTION("IMPORTRANGE(""https://docs.google.com/spreadsheets/d/1IYY_tgx_IHuhSq3AJ5eI5OnqOPBNLWSHKh2a30DoXe8/edit?usp=sharing"",""นราธิวาส!I398"")"),0)</f>
        <v>0</v>
      </c>
      <c r="J503" s="204">
        <f ca="1">IFERROR(__xludf.DUMMYFUNCTION("IMPORTRANGE(""https://docs.google.com/spreadsheets/d/1IYY_tgx_IHuhSq3AJ5eI5OnqOPBNLWSHKh2a30DoXe8/edit?usp=sharing"",""นราธิวาส!J398"")"),0)</f>
        <v>0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IFERROR(__xludf.DUMMYFUNCTION("IMPORTRANGE(""https://docs.google.com/spreadsheets/d/1IYY_tgx_IHuhSq3AJ5eI5OnqOPBNLWSHKh2a30DoXe8/edit?usp=sharing"",""นราธิวาส!I399"")"),0)</f>
        <v>0</v>
      </c>
      <c r="J504" s="195">
        <f ca="1">IFERROR(__xludf.DUMMYFUNCTION("IMPORTRANGE(""https://docs.google.com/spreadsheets/d/1IYY_tgx_IHuhSq3AJ5eI5OnqOPBNLWSHKh2a30DoXe8/edit?usp=sharing"",""นราธิวาส!J399"")"),0)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IFERROR(__xludf.DUMMYFUNCTION("IMPORTRANGE(""https://docs.google.com/spreadsheets/d/1IYY_tgx_IHuhSq3AJ5eI5OnqOPBNLWSHKh2a30DoXe8/edit?usp=sharing"",""นราธิวาส!I400"")"),0)</f>
        <v>0</v>
      </c>
      <c r="J505" s="204">
        <f ca="1">IFERROR(__xludf.DUMMYFUNCTION("IMPORTRANGE(""https://docs.google.com/spreadsheets/d/1IYY_tgx_IHuhSq3AJ5eI5OnqOPBNLWSHKh2a30DoXe8/edit?usp=sharing"",""นราธิวาส!J400"")"),0)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IFERROR(__xludf.DUMMYFUNCTION("IMPORTRANGE(""https://docs.google.com/spreadsheets/d/1IYY_tgx_IHuhSq3AJ5eI5OnqOPBNLWSHKh2a30DoXe8/edit?usp=sharing"",""นราธิวาส!I401"")"),0)</f>
        <v>0</v>
      </c>
      <c r="J506" s="195">
        <f ca="1">IFERROR(__xludf.DUMMYFUNCTION("IMPORTRANGE(""https://docs.google.com/spreadsheets/d/1IYY_tgx_IHuhSq3AJ5eI5OnqOPBNLWSHKh2a30DoXe8/edit?usp=sharing"",""นราธิวาส!J401"")"),0)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IFERROR(__xludf.DUMMYFUNCTION("IMPORTRANGE(""https://docs.google.com/spreadsheets/d/1IYY_tgx_IHuhSq3AJ5eI5OnqOPBNLWSHKh2a30DoXe8/edit?usp=sharing"",""นราธิวาส!I402"")"),0)</f>
        <v>0</v>
      </c>
      <c r="J507" s="204">
        <f ca="1">IFERROR(__xludf.DUMMYFUNCTION("IMPORTRANGE(""https://docs.google.com/spreadsheets/d/1IYY_tgx_IHuhSq3AJ5eI5OnqOPBNLWSHKh2a30DoXe8/edit?usp=sharing"",""นราธิวาส!J402"")"),0)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IFERROR(__xludf.DUMMYFUNCTION("IMPORTRANGE(""https://docs.google.com/spreadsheets/d/1IYY_tgx_IHuhSq3AJ5eI5OnqOPBNLWSHKh2a30DoXe8/edit?usp=sharing"",""นราธิวาส!I403"")"),0)</f>
        <v>0</v>
      </c>
      <c r="J508" s="166">
        <f ca="1">IFERROR(__xludf.DUMMYFUNCTION("IMPORTRANGE(""https://docs.google.com/spreadsheets/d/1IYY_tgx_IHuhSq3AJ5eI5OnqOPBNLWSHKh2a30DoXe8/edit?usp=sharing"",""นราธิวาส!J403"")"),0)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IFERROR(__xludf.DUMMYFUNCTION("IMPORTRANGE(""https://docs.google.com/spreadsheets/d/1IYY_tgx_IHuhSq3AJ5eI5OnqOPBNLWSHKh2a30DoXe8/edit?usp=sharing"",""นราธิวาส!I404"")"),0)</f>
        <v>0</v>
      </c>
      <c r="J509" s="166">
        <f ca="1">IFERROR(__xludf.DUMMYFUNCTION("IMPORTRANGE(""https://docs.google.com/spreadsheets/d/1IYY_tgx_IHuhSq3AJ5eI5OnqOPBNLWSHKh2a30DoXe8/edit?usp=sharing"",""นราธิวาส!J404"")"),0)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IFERROR(__xludf.DUMMYFUNCTION("IMPORTRANGE(""https://docs.google.com/spreadsheets/d/1IYY_tgx_IHuhSq3AJ5eI5OnqOPBNLWSHKh2a30DoXe8/edit?usp=sharing"",""นราธิวาส!I405"")"),0)</f>
        <v>0</v>
      </c>
      <c r="J510" s="204">
        <f ca="1">IFERROR(__xludf.DUMMYFUNCTION("IMPORTRANGE(""https://docs.google.com/spreadsheets/d/1IYY_tgx_IHuhSq3AJ5eI5OnqOPBNLWSHKh2a30DoXe8/edit?usp=sharing"",""นราธิวาส!J405"")"),0)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IFERROR(__xludf.DUMMYFUNCTION("IMPORTRANGE(""https://docs.google.com/spreadsheets/d/1IYY_tgx_IHuhSq3AJ5eI5OnqOPBNLWSHKh2a30DoXe8/edit?usp=sharing"",""นราธิวาส!I406"")"),0)</f>
        <v>0</v>
      </c>
      <c r="J511" s="204">
        <f ca="1">IFERROR(__xludf.DUMMYFUNCTION("IMPORTRANGE(""https://docs.google.com/spreadsheets/d/1IYY_tgx_IHuhSq3AJ5eI5OnqOPBNLWSHKh2a30DoXe8/edit?usp=sharing"",""นราธิวาส!J406"")"),0)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IFERROR(__xludf.DUMMYFUNCTION("IMPORTRANGE(""https://docs.google.com/spreadsheets/d/1IYY_tgx_IHuhSq3AJ5eI5OnqOPBNLWSHKh2a30DoXe8/edit?usp=sharing"",""นราธิวาส!I407"")"),0)</f>
        <v>0</v>
      </c>
      <c r="J512" s="204">
        <f ca="1">IFERROR(__xludf.DUMMYFUNCTION("IMPORTRANGE(""https://docs.google.com/spreadsheets/d/1IYY_tgx_IHuhSq3AJ5eI5OnqOPBNLWSHKh2a30DoXe8/edit?usp=sharing"",""นราธิวาส!J407"")"),0)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IFERROR(__xludf.DUMMYFUNCTION("IMPORTRANGE(""https://docs.google.com/spreadsheets/d/1IYY_tgx_IHuhSq3AJ5eI5OnqOPBNLWSHKh2a30DoXe8/edit?usp=sharing"",""นราธิวาส!I408"")"),0)</f>
        <v>0</v>
      </c>
      <c r="J513" s="204">
        <f ca="1">IFERROR(__xludf.DUMMYFUNCTION("IMPORTRANGE(""https://docs.google.com/spreadsheets/d/1IYY_tgx_IHuhSq3AJ5eI5OnqOPBNLWSHKh2a30DoXe8/edit?usp=sharing"",""นราธิวาส!J408"")"),0)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IFERROR(__xludf.DUMMYFUNCTION("IMPORTRANGE(""https://docs.google.com/spreadsheets/d/1IYY_tgx_IHuhSq3AJ5eI5OnqOPBNLWSHKh2a30DoXe8/edit?usp=sharing"",""นราธิวาส!I409"")"),0)</f>
        <v>0</v>
      </c>
      <c r="J514" s="204">
        <f ca="1">IFERROR(__xludf.DUMMYFUNCTION("IMPORTRANGE(""https://docs.google.com/spreadsheets/d/1IYY_tgx_IHuhSq3AJ5eI5OnqOPBNLWSHKh2a30DoXe8/edit?usp=sharing"",""นราธิวาส!J409"")"),0)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IFERROR(__xludf.DUMMYFUNCTION("IMPORTRANGE(""https://docs.google.com/spreadsheets/d/1IYY_tgx_IHuhSq3AJ5eI5OnqOPBNLWSHKh2a30DoXe8/edit?usp=sharing"",""นราธิวาส!I410"")"),0)</f>
        <v>0</v>
      </c>
      <c r="J515" s="204">
        <f ca="1">IFERROR(__xludf.DUMMYFUNCTION("IMPORTRANGE(""https://docs.google.com/spreadsheets/d/1IYY_tgx_IHuhSq3AJ5eI5OnqOPBNLWSHKh2a30DoXe8/edit?usp=sharing"",""นราธิวาส!J410"")"),0)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IFERROR(__xludf.DUMMYFUNCTION("IMPORTRANGE(""https://docs.google.com/spreadsheets/d/1IYY_tgx_IHuhSq3AJ5eI5OnqOPBNLWSHKh2a30DoXe8/edit?usp=sharing"",""นราธิวาส!I411"")"),0)</f>
        <v>0</v>
      </c>
      <c r="J516" s="273">
        <f ca="1">IFERROR(__xludf.DUMMYFUNCTION("IMPORTRANGE(""https://docs.google.com/spreadsheets/d/1IYY_tgx_IHuhSq3AJ5eI5OnqOPBNLWSHKh2a30DoXe8/edit?usp=sharing"",""นราธิวาส!J411"")"),0)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IFERROR(__xludf.DUMMYFUNCTION("IMPORTRANGE(""https://docs.google.com/spreadsheets/d/1IYY_tgx_IHuhSq3AJ5eI5OnqOPBNLWSHKh2a30DoXe8/edit?usp=sharing"",""นราธิวาส!I414"")"),0)</f>
        <v>0</v>
      </c>
      <c r="J519" s="194">
        <f ca="1">IFERROR(__xludf.DUMMYFUNCTION("IMPORTRANGE(""https://docs.google.com/spreadsheets/d/1IYY_tgx_IHuhSq3AJ5eI5OnqOPBNLWSHKh2a30DoXe8/edit?usp=sharing"",""นราธิวาส!J414"")"),0)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IFERROR(__xludf.DUMMYFUNCTION("IMPORTRANGE(""https://docs.google.com/spreadsheets/d/1IYY_tgx_IHuhSq3AJ5eI5OnqOPBNLWSHKh2a30DoXe8/edit?usp=sharing"",""นราธิวาส!I415"")"),0)</f>
        <v>0</v>
      </c>
      <c r="J520" s="194">
        <f ca="1">IFERROR(__xludf.DUMMYFUNCTION("IMPORTRANGE(""https://docs.google.com/spreadsheets/d/1IYY_tgx_IHuhSq3AJ5eI5OnqOPBNLWSHKh2a30DoXe8/edit?usp=sharing"",""นราธิวาส!J415"")"),0)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IFERROR(__xludf.DUMMYFUNCTION("IMPORTRANGE(""https://docs.google.com/spreadsheets/d/1IYY_tgx_IHuhSq3AJ5eI5OnqOPBNLWSHKh2a30DoXe8/edit?usp=sharing"",""นราธิวาส!I416"")"),0)</f>
        <v>0</v>
      </c>
      <c r="J521" s="194">
        <f ca="1">IFERROR(__xludf.DUMMYFUNCTION("IMPORTRANGE(""https://docs.google.com/spreadsheets/d/1IYY_tgx_IHuhSq3AJ5eI5OnqOPBNLWSHKh2a30DoXe8/edit?usp=sharing"",""นราธิวาส!J416"")"),0)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IFERROR(__xludf.DUMMYFUNCTION("IMPORTRANGE(""https://docs.google.com/spreadsheets/d/1IYY_tgx_IHuhSq3AJ5eI5OnqOPBNLWSHKh2a30DoXe8/edit?usp=sharing"",""นราธิวาส!I417"")"),0)</f>
        <v>0</v>
      </c>
      <c r="J522" s="194">
        <f ca="1">IFERROR(__xludf.DUMMYFUNCTION("IMPORTRANGE(""https://docs.google.com/spreadsheets/d/1IYY_tgx_IHuhSq3AJ5eI5OnqOPBNLWSHKh2a30DoXe8/edit?usp=sharing"",""นราธิวาส!J417"")"),0)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IFERROR(__xludf.DUMMYFUNCTION("IMPORTRANGE(""https://docs.google.com/spreadsheets/d/1IYY_tgx_IHuhSq3AJ5eI5OnqOPBNLWSHKh2a30DoXe8/edit?usp=sharing"",""นราธิวาส!I418"")"),0)</f>
        <v>0</v>
      </c>
      <c r="J523" s="194">
        <f ca="1">IFERROR(__xludf.DUMMYFUNCTION("IMPORTRANGE(""https://docs.google.com/spreadsheets/d/1IYY_tgx_IHuhSq3AJ5eI5OnqOPBNLWSHKh2a30DoXe8/edit?usp=sharing"",""นราธิวาส!J418"")"),0)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IFERROR(__xludf.DUMMYFUNCTION("IMPORTRANGE(""https://docs.google.com/spreadsheets/d/1IYY_tgx_IHuhSq3AJ5eI5OnqOPBNLWSHKh2a30DoXe8/edit?usp=sharing"",""นราธิวาส!I419"")"),0)</f>
        <v>0</v>
      </c>
      <c r="J524" s="194">
        <f ca="1">IFERROR(__xludf.DUMMYFUNCTION("IMPORTRANGE(""https://docs.google.com/spreadsheets/d/1IYY_tgx_IHuhSq3AJ5eI5OnqOPBNLWSHKh2a30DoXe8/edit?usp=sharing"",""นราธิวาส!J419"")"),0)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IFERROR(__xludf.DUMMYFUNCTION("IMPORTRANGE(""https://docs.google.com/spreadsheets/d/1IYY_tgx_IHuhSq3AJ5eI5OnqOPBNLWSHKh2a30DoXe8/edit?usp=sharing"",""นราธิวาส!I422"")"),0)</f>
        <v>0</v>
      </c>
      <c r="J527" s="204">
        <f ca="1">IFERROR(__xludf.DUMMYFUNCTION("IMPORTRANGE(""https://docs.google.com/spreadsheets/d/1IYY_tgx_IHuhSq3AJ5eI5OnqOPBNLWSHKh2a30DoXe8/edit?usp=sharing"",""นราธิวาส!J422"")"),0)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IFERROR(__xludf.DUMMYFUNCTION("IMPORTRANGE(""https://docs.google.com/spreadsheets/d/1IYY_tgx_IHuhSq3AJ5eI5OnqOPBNLWSHKh2a30DoXe8/edit?usp=sharing"",""นราธิวาส!I423"")"),0)</f>
        <v>0</v>
      </c>
      <c r="J528" s="204">
        <f ca="1">IFERROR(__xludf.DUMMYFUNCTION("IMPORTRANGE(""https://docs.google.com/spreadsheets/d/1IYY_tgx_IHuhSq3AJ5eI5OnqOPBNLWSHKh2a30DoXe8/edit?usp=sharing"",""นราธิวาส!J423"")"),0)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IFERROR(__xludf.DUMMYFUNCTION("IMPORTRANGE(""https://docs.google.com/spreadsheets/d/1IYY_tgx_IHuhSq3AJ5eI5OnqOPBNLWSHKh2a30DoXe8/edit?usp=sharing"",""นราธิวาส!I424"")"),0)</f>
        <v>0</v>
      </c>
      <c r="J529" s="204">
        <f ca="1">IFERROR(__xludf.DUMMYFUNCTION("IMPORTRANGE(""https://docs.google.com/spreadsheets/d/1IYY_tgx_IHuhSq3AJ5eI5OnqOPBNLWSHKh2a30DoXe8/edit?usp=sharing"",""นราธิวาส!J424"")"),0)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IFERROR(__xludf.DUMMYFUNCTION("IMPORTRANGE(""https://docs.google.com/spreadsheets/d/1IYY_tgx_IHuhSq3AJ5eI5OnqOPBNLWSHKh2a30DoXe8/edit?usp=sharing"",""นราธิวาส!I425"")"),0)</f>
        <v>0</v>
      </c>
      <c r="J530" s="204">
        <f ca="1">IFERROR(__xludf.DUMMYFUNCTION("IMPORTRANGE(""https://docs.google.com/spreadsheets/d/1IYY_tgx_IHuhSq3AJ5eI5OnqOPBNLWSHKh2a30DoXe8/edit?usp=sharing"",""นราธิวาส!J425"")"),0)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IFERROR(__xludf.DUMMYFUNCTION("IMPORTRANGE(""https://docs.google.com/spreadsheets/d/1IYY_tgx_IHuhSq3AJ5eI5OnqOPBNLWSHKh2a30DoXe8/edit?usp=sharing"",""นราธิวาส!I426"")"),0)</f>
        <v>0</v>
      </c>
      <c r="J531" s="204">
        <f ca="1">IFERROR(__xludf.DUMMYFUNCTION("IMPORTRANGE(""https://docs.google.com/spreadsheets/d/1IYY_tgx_IHuhSq3AJ5eI5OnqOPBNLWSHKh2a30DoXe8/edit?usp=sharing"",""นราธิวาส!J426"")"),0)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7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IFERROR(__xludf.DUMMYFUNCTION("IMPORTRANGE(""https://docs.google.com/spreadsheets/d/1IYY_tgx_IHuhSq3AJ5eI5OnqOPBNLWSHKh2a30DoXe8/edit?usp=sharing"",""นราธิวาส!L429"")"),0)</f>
        <v>0</v>
      </c>
      <c r="M534" s="168"/>
      <c r="N534" s="175">
        <f ca="1">IFERROR(__xludf.DUMMYFUNCTION("IMPORTRANGE(""https://docs.google.com/spreadsheets/d/1IYY_tgx_IHuhSq3AJ5eI5OnqOPBNLWSHKh2a30DoXe8/edit?usp=sharing"",""นราธิวาส!M429"")"),0)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5">
        <f ca="1">IFERROR(__xludf.DUMMYFUNCTION("IMPORTRANGE(""https://docs.google.com/spreadsheets/d/1IYY_tgx_IHuhSq3AJ5eI5OnqOPBNLWSHKh2a30DoXe8/edit?usp=sharing"",""นราธิวาส!M430"")"),32640)</f>
        <v>32640</v>
      </c>
      <c r="O535" s="175">
        <f t="shared" ca="1" si="117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IFERROR(__xludf.DUMMYFUNCTION("IMPORTRANGE(""https://docs.google.com/spreadsheets/d/1IYY_tgx_IHuhSq3AJ5eI5OnqOPBNLWSHKh2a30DoXe8/edit?usp=sharing"",""นราธิวาส!L431"")"),0)</f>
        <v>0</v>
      </c>
      <c r="M536" s="175"/>
      <c r="N536" s="175">
        <f ca="1">IFERROR(__xludf.DUMMYFUNCTION("IMPORTRANGE(""https://docs.google.com/spreadsheets/d/1IYY_tgx_IHuhSq3AJ5eI5OnqOPBNLWSHKh2a30DoXe8/edit?usp=sharing"",""นราธิวาส!M431"")"),0)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IFERROR(__xludf.DUMMYFUNCTION("IMPORTRANGE(""https://docs.google.com/spreadsheets/d/1IYY_tgx_IHuhSq3AJ5eI5OnqOPBNLWSHKh2a30DoXe8/edit?usp=sharing"",""นราธิวาส!L432"")"),32640)</f>
        <v>32640</v>
      </c>
      <c r="M537" s="175"/>
      <c r="N537" s="175">
        <f ca="1">IFERROR(__xludf.DUMMYFUNCTION("IMPORTRANGE(""https://docs.google.com/spreadsheets/d/1IYY_tgx_IHuhSq3AJ5eI5OnqOPBNLWSHKh2a30DoXe8/edit?usp=sharing"",""นราธิวาส!M432"")"),32640)</f>
        <v>32640</v>
      </c>
      <c r="O537" s="175">
        <f t="shared" ca="1" si="117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IFERROR(__xludf.DUMMYFUNCTION("IMPORTRANGE(""https://docs.google.com/spreadsheets/d/1IYY_tgx_IHuhSq3AJ5eI5OnqOPBNLWSHKh2a30DoXe8/edit?usp=sharing"",""นราธิวาส!J438"")"),0)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IFERROR(__xludf.DUMMYFUNCTION("IMPORTRANGE(""https://docs.google.com/spreadsheets/d/1IYY_tgx_IHuhSq3AJ5eI5OnqOPBNLWSHKh2a30DoXe8/edit?usp=sharing"",""นราธิวาส!J439"")"),1)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IFERROR(__xludf.DUMMYFUNCTION("IMPORTRANGE(""https://docs.google.com/spreadsheets/d/1IYY_tgx_IHuhSq3AJ5eI5OnqOPBNLWSHKh2a30DoXe8/edit?usp=sharing"",""นราธิวาส!J440"")"),1)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IFERROR(__xludf.DUMMYFUNCTION("IMPORTRANGE(""https://docs.google.com/spreadsheets/d/1IYY_tgx_IHuhSq3AJ5eI5OnqOPBNLWSHKh2a30DoXe8/edit?usp=sharing"",""นราธิวาส!J441"")"),1)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IFERROR(__xludf.DUMMYFUNCTION("IMPORTRANGE(""https://docs.google.com/spreadsheets/d/1IYY_tgx_IHuhSq3AJ5eI5OnqOPBNLWSHKh2a30DoXe8/edit?usp=sharing"",""นราธิวาส!I442"")"),20)</f>
        <v>20</v>
      </c>
      <c r="J547" s="195">
        <f ca="1">IFERROR(__xludf.DUMMYFUNCTION("IMPORTRANGE(""https://docs.google.com/spreadsheets/d/1IYY_tgx_IHuhSq3AJ5eI5OnqOPBNLWSHKh2a30DoXe8/edit?usp=sharing"",""นราธิวาส!J442"")"),20)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IFERROR(__xludf.DUMMYFUNCTION("IMPORTRANGE(""https://docs.google.com/spreadsheets/d/1IYY_tgx_IHuhSq3AJ5eI5OnqOPBNLWSHKh2a30DoXe8/edit?usp=sharing"",""นราธิวาส!J166"")"),0)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IFERROR(__xludf.DUMMYFUNCTION("IMPORTRANGE(""https://docs.google.com/spreadsheets/d/1IYY_tgx_IHuhSq3AJ5eI5OnqOPBNLWSHKh2a30DoXe8/edit?usp=sharing"",""นราธิวาส!J444"")"),0)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IFERROR(__xludf.DUMMYFUNCTION("IMPORTRANGE(""https://docs.google.com/spreadsheets/d/1IYY_tgx_IHuhSq3AJ5eI5OnqOPBNLWSHKh2a30DoXe8/edit?usp=sharing"",""นราธิวาส!L447"")"),0)</f>
        <v>0</v>
      </c>
      <c r="M552" s="168"/>
      <c r="N552" s="175">
        <f ca="1">IFERROR(__xludf.DUMMYFUNCTION("IMPORTRANGE(""https://docs.google.com/spreadsheets/d/1IYY_tgx_IHuhSq3AJ5eI5OnqOPBNLWSHKh2a30DoXe8/edit?usp=sharing"",""นราธิวาส!M447"")"),0)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5">
        <f ca="1">IFERROR(__xludf.DUMMYFUNCTION("IMPORTRANGE(""https://docs.google.com/spreadsheets/d/1IYY_tgx_IHuhSq3AJ5eI5OnqOPBNLWSHKh2a30DoXe8/edit?usp=sharing"",""นราธิวาส!M448"")"),0)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IFERROR(__xludf.DUMMYFUNCTION("IMPORTRANGE(""https://docs.google.com/spreadsheets/d/1IYY_tgx_IHuhSq3AJ5eI5OnqOPBNLWSHKh2a30DoXe8/edit?usp=sharing"",""นราธิวาส!L449"")"),0)</f>
        <v>0</v>
      </c>
      <c r="M554" s="175"/>
      <c r="N554" s="175">
        <f ca="1">IFERROR(__xludf.DUMMYFUNCTION("IMPORTRANGE(""https://docs.google.com/spreadsheets/d/1IYY_tgx_IHuhSq3AJ5eI5OnqOPBNLWSHKh2a30DoXe8/edit?usp=sharing"",""นราธิวาส!M449"")"),0)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IFERROR(__xludf.DUMMYFUNCTION("IMPORTRANGE(""https://docs.google.com/spreadsheets/d/1IYY_tgx_IHuhSq3AJ5eI5OnqOPBNLWSHKh2a30DoXe8/edit?usp=sharing"",""นราธิวาส!L450"")"),0)</f>
        <v>0</v>
      </c>
      <c r="M555" s="175"/>
      <c r="N555" s="175">
        <f ca="1">IFERROR(__xludf.DUMMYFUNCTION("IMPORTRANGE(""https://docs.google.com/spreadsheets/d/1IYY_tgx_IHuhSq3AJ5eI5OnqOPBNLWSHKh2a30DoXe8/edit?usp=sharing"",""นราธิวาส!M450"")"),0)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IFERROR(__xludf.DUMMYFUNCTION("IMPORTRANGE(""https://docs.google.com/spreadsheets/d/1IYY_tgx_IHuhSq3AJ5eI5OnqOPBNLWSHKh2a30DoXe8/edit?usp=sharing"",""นราธิวาส!M451"")"),0)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IFERROR(__xludf.DUMMYFUNCTION("IMPORTRANGE(""https://docs.google.com/spreadsheets/d/1IYY_tgx_IHuhSq3AJ5eI5OnqOPBNLWSHKh2a30DoXe8/edit?usp=sharing"",""นราธิวาส!M452"")"),0)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IFERROR(__xludf.DUMMYFUNCTION("IMPORTRANGE(""https://docs.google.com/spreadsheets/d/1IYY_tgx_IHuhSq3AJ5eI5OnqOPBNLWSHKh2a30DoXe8/edit?usp=sharing"",""นราธิวาส!M453"")"),0)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IFERROR(__xludf.DUMMYFUNCTION("IMPORTRANGE(""https://docs.google.com/spreadsheets/d/1IYY_tgx_IHuhSq3AJ5eI5OnqOPBNLWSHKh2a30DoXe8/edit?usp=sharing"",""นราธิวาส!M454"")"),0)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IFERROR(__xludf.DUMMYFUNCTION("IMPORTRANGE(""https://docs.google.com/spreadsheets/d/1IYY_tgx_IHuhSq3AJ5eI5OnqOPBNLWSHKh2a30DoXe8/edit?usp=sharing"",""นราธิวาส!I455"")"),0)</f>
        <v>0</v>
      </c>
      <c r="J560" s="166">
        <f ca="1">IFERROR(__xludf.DUMMYFUNCTION("IMPORTRANGE(""https://docs.google.com/spreadsheets/d/1IYY_tgx_IHuhSq3AJ5eI5OnqOPBNLWSHKh2a30DoXe8/edit?usp=sharing"",""นราธิวาส!J455"")"),0)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IFERROR(__xludf.DUMMYFUNCTION("IMPORTRANGE(""https://docs.google.com/spreadsheets/d/1IYY_tgx_IHuhSq3AJ5eI5OnqOPBNLWSHKh2a30DoXe8/edit?usp=sharing"",""นราธิวาส!I456"")"),0)</f>
        <v>0</v>
      </c>
      <c r="J561" s="210">
        <f ca="1">IFERROR(__xludf.DUMMYFUNCTION("IMPORTRANGE(""https://docs.google.com/spreadsheets/d/1IYY_tgx_IHuhSq3AJ5eI5OnqOPBNLWSHKh2a30DoXe8/edit?usp=sharing"",""นราธิวาส!J456"")"),0)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IFERROR(__xludf.DUMMYFUNCTION("IMPORTRANGE(""https://docs.google.com/spreadsheets/d/1IYY_tgx_IHuhSq3AJ5eI5OnqOPBNLWSHKh2a30DoXe8/edit?usp=sharing"",""นราธิวาส!J459"")"),423)</f>
        <v>423</v>
      </c>
      <c r="K564" s="378">
        <f ca="1">IF(I564&gt;0,J564*100/I564,0)</f>
        <v>282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IFERROR(__xludf.DUMMYFUNCTION("IMPORTRANGE(""https://docs.google.com/spreadsheets/d/1IYY_tgx_IHuhSq3AJ5eI5OnqOPBNLWSHKh2a30DoXe8/edit?usp=sharing"",""นราธิวาส!M459"")"),84020)</f>
        <v>84020</v>
      </c>
      <c r="O564" s="379">
        <f t="shared" ref="O564:O568" ca="1" si="121">+IF(L564&gt;0,N564*100/L564,0)</f>
        <v>69.599072233267066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IFERROR(__xludf.DUMMYFUNCTION("IMPORTRANGE(""https://docs.google.com/spreadsheets/d/1IYY_tgx_IHuhSq3AJ5eI5OnqOPBNLWSHKh2a30DoXe8/edit?usp=sharing"",""นราธิวาส!L460"")"),0)</f>
        <v>0</v>
      </c>
      <c r="M565" s="168"/>
      <c r="N565" s="175">
        <f ca="1">IFERROR(__xludf.DUMMYFUNCTION("IMPORTRANGE(""https://docs.google.com/spreadsheets/d/1IYY_tgx_IHuhSq3AJ5eI5OnqOPBNLWSHKh2a30DoXe8/edit?usp=sharing"",""นราธิวาส!M460"")"),0)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5">
        <f ca="1">IFERROR(__xludf.DUMMYFUNCTION("IMPORTRANGE(""https://docs.google.com/spreadsheets/d/1IYY_tgx_IHuhSq3AJ5eI5OnqOPBNLWSHKh2a30DoXe8/edit?usp=sharing"",""นราธิวาส!M461"")"),84020)</f>
        <v>84020</v>
      </c>
      <c r="O566" s="175">
        <f t="shared" ca="1" si="121"/>
        <v>69.599072233267066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IFERROR(__xludf.DUMMYFUNCTION("IMPORTRANGE(""https://docs.google.com/spreadsheets/d/1IYY_tgx_IHuhSq3AJ5eI5OnqOPBNLWSHKh2a30DoXe8/edit?usp=sharing"",""นราธิวาส!L462"")"),0)</f>
        <v>0</v>
      </c>
      <c r="M567" s="175"/>
      <c r="N567" s="175">
        <f ca="1">IFERROR(__xludf.DUMMYFUNCTION("IMPORTRANGE(""https://docs.google.com/spreadsheets/d/1IYY_tgx_IHuhSq3AJ5eI5OnqOPBNLWSHKh2a30DoXe8/edit?usp=sharing"",""นราธิวาส!M462"")"),0)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IFERROR(__xludf.DUMMYFUNCTION("IMPORTRANGE(""https://docs.google.com/spreadsheets/d/1IYY_tgx_IHuhSq3AJ5eI5OnqOPBNLWSHKh2a30DoXe8/edit?usp=sharing"",""นราธิวาส!L463"")"),120720)</f>
        <v>120720</v>
      </c>
      <c r="M568" s="175"/>
      <c r="N568" s="175">
        <f ca="1">IFERROR(__xludf.DUMMYFUNCTION("IMPORTRANGE(""https://docs.google.com/spreadsheets/d/1IYY_tgx_IHuhSq3AJ5eI5OnqOPBNLWSHKh2a30DoXe8/edit?usp=sharing"",""นราธิวาส!M463"")"),84020)</f>
        <v>84020</v>
      </c>
      <c r="O568" s="175">
        <f t="shared" ca="1" si="121"/>
        <v>69.599072233267066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IFERROR(__xludf.DUMMYFUNCTION("IMPORTRANGE(""https://docs.google.com/spreadsheets/d/1IYY_tgx_IHuhSq3AJ5eI5OnqOPBNLWSHKh2a30DoXe8/edit?usp=sharing"",""นราธิวาส!M464"")"),0)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IFERROR(__xludf.DUMMYFUNCTION("IMPORTRANGE(""https://docs.google.com/spreadsheets/d/1IYY_tgx_IHuhSq3AJ5eI5OnqOPBNLWSHKh2a30DoXe8/edit?usp=sharing"",""นราธิวาส!M465"")"),0)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IFERROR(__xludf.DUMMYFUNCTION("IMPORTRANGE(""https://docs.google.com/spreadsheets/d/1IYY_tgx_IHuhSq3AJ5eI5OnqOPBNLWSHKh2a30DoXe8/edit?usp=sharing"",""นราธิวาส!M466"")"),62300)</f>
        <v>62300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IFERROR(__xludf.DUMMYFUNCTION("IMPORTRANGE(""https://docs.google.com/spreadsheets/d/1IYY_tgx_IHuhSq3AJ5eI5OnqOPBNLWSHKh2a30DoXe8/edit?usp=sharing"",""นราธิวาส!M467"")"),21720)</f>
        <v>21720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IFERROR(__xludf.DUMMYFUNCTION("IMPORTRANGE(""https://docs.google.com/spreadsheets/d/1IYY_tgx_IHuhSq3AJ5eI5OnqOPBNLWSHKh2a30DoXe8/edit?usp=sharing"",""นราธิวาส!J468"")"),423)</f>
        <v>423</v>
      </c>
      <c r="K573" s="208">
        <f ca="1">IF(I573&gt;0,J573*100/I573,0)</f>
        <v>282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IFERROR(__xludf.DUMMYFUNCTION("IMPORTRANGE(""https://docs.google.com/spreadsheets/d/1IYY_tgx_IHuhSq3AJ5eI5OnqOPBNLWSHKh2a30DoXe8/edit?usp=sharing"",""นราธิวาส!I470"")"),0)</f>
        <v>0</v>
      </c>
      <c r="J575" s="204">
        <f ca="1">IFERROR(__xludf.DUMMYFUNCTION("IMPORTRANGE(""https://docs.google.com/spreadsheets/d/1IYY_tgx_IHuhSq3AJ5eI5OnqOPBNLWSHKh2a30DoXe8/edit?usp=sharing"",""นราธิวาส!J470"")"),4)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IFERROR(__xludf.DUMMYFUNCTION("IMPORTRANGE(""https://docs.google.com/spreadsheets/d/1IYY_tgx_IHuhSq3AJ5eI5OnqOPBNLWSHKh2a30DoXe8/edit?usp=sharing"",""นราธิวาส!I471"")"),0)</f>
        <v>0</v>
      </c>
      <c r="J576" s="204">
        <f ca="1">IFERROR(__xludf.DUMMYFUNCTION("IMPORTRANGE(""https://docs.google.com/spreadsheets/d/1IYY_tgx_IHuhSq3AJ5eI5OnqOPBNLWSHKh2a30DoXe8/edit?usp=sharing"",""นราธิวาส!J471"")"),154)</f>
        <v>154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IFERROR(__xludf.DUMMYFUNCTION("IMPORTRANGE(""https://docs.google.com/spreadsheets/d/1IYY_tgx_IHuhSq3AJ5eI5OnqOPBNLWSHKh2a30DoXe8/edit?usp=sharing"",""นราธิวาส!I472"")"),0)</f>
        <v>0</v>
      </c>
      <c r="J577" s="195">
        <f ca="1">IFERROR(__xludf.DUMMYFUNCTION("IMPORTRANGE(""https://docs.google.com/spreadsheets/d/1IYY_tgx_IHuhSq3AJ5eI5OnqOPBNLWSHKh2a30DoXe8/edit?usp=sharing"",""นราธิวาส!J472"")"),269)</f>
        <v>269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IFERROR(__xludf.DUMMYFUNCTION("IMPORTRANGE(""https://docs.google.com/spreadsheets/d/1IYY_tgx_IHuhSq3AJ5eI5OnqOPBNLWSHKh2a30DoXe8/edit?usp=sharing"",""นราธิวาส!I473"")"),0)</f>
        <v>0</v>
      </c>
      <c r="J578" s="204">
        <f ca="1">IFERROR(__xludf.DUMMYFUNCTION("IMPORTRANGE(""https://docs.google.com/spreadsheets/d/1IYY_tgx_IHuhSq3AJ5eI5OnqOPBNLWSHKh2a30DoXe8/edit?usp=sharing"",""นราธิวาส!J473"")"),0)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IFERROR(__xludf.DUMMYFUNCTION("IMPORTRANGE(""https://docs.google.com/spreadsheets/d/1IYY_tgx_IHuhSq3AJ5eI5OnqOPBNLWSHKh2a30DoXe8/edit?usp=sharing"",""นราธิวาส!I474"")"),0)</f>
        <v>0</v>
      </c>
      <c r="J579" s="204">
        <f ca="1">IFERROR(__xludf.DUMMYFUNCTION("IMPORTRANGE(""https://docs.google.com/spreadsheets/d/1IYY_tgx_IHuhSq3AJ5eI5OnqOPBNLWSHKh2a30DoXe8/edit?usp=sharing"",""นราธิวาส!J474"")"),0)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IFERROR(__xludf.DUMMYFUNCTION("IMPORTRANGE(""https://docs.google.com/spreadsheets/d/1IYY_tgx_IHuhSq3AJ5eI5OnqOPBNLWSHKh2a30DoXe8/edit?usp=sharing"",""นราธิวาส!L476"")"),0)</f>
        <v>0</v>
      </c>
      <c r="M581" s="168"/>
      <c r="N581" s="175">
        <f ca="1">IFERROR(__xludf.DUMMYFUNCTION("IMPORTRANGE(""https://docs.google.com/spreadsheets/d/1IYY_tgx_IHuhSq3AJ5eI5OnqOPBNLWSHKh2a30DoXe8/edit?usp=sharing"",""นราธิวาส!M476"")"),0)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5">
        <f ca="1">IFERROR(__xludf.DUMMYFUNCTION("IMPORTRANGE(""https://docs.google.com/spreadsheets/d/1IYY_tgx_IHuhSq3AJ5eI5OnqOPBNLWSHKh2a30DoXe8/edit?usp=sharing"",""นราธิวาส!M477"")"),0)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IFERROR(__xludf.DUMMYFUNCTION("IMPORTRANGE(""https://docs.google.com/spreadsheets/d/1IYY_tgx_IHuhSq3AJ5eI5OnqOPBNLWSHKh2a30DoXe8/edit?usp=sharing"",""นราธิวาส!L478"")"),0)</f>
        <v>0</v>
      </c>
      <c r="M583" s="175"/>
      <c r="N583" s="175">
        <f ca="1">IFERROR(__xludf.DUMMYFUNCTION("IMPORTRANGE(""https://docs.google.com/spreadsheets/d/1IYY_tgx_IHuhSq3AJ5eI5OnqOPBNLWSHKh2a30DoXe8/edit?usp=sharing"",""นราธิวาส!M478"")"),0)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IFERROR(__xludf.DUMMYFUNCTION("IMPORTRANGE(""https://docs.google.com/spreadsheets/d/1IYY_tgx_IHuhSq3AJ5eI5OnqOPBNLWSHKh2a30DoXe8/edit?usp=sharing"",""นราธิวาส!L479"")"),0)</f>
        <v>0</v>
      </c>
      <c r="M584" s="175"/>
      <c r="N584" s="175">
        <f ca="1">IFERROR(__xludf.DUMMYFUNCTION("IMPORTRANGE(""https://docs.google.com/spreadsheets/d/1IYY_tgx_IHuhSq3AJ5eI5OnqOPBNLWSHKh2a30DoXe8/edit?usp=sharing"",""นราธิวาส!M479"")"),0)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IFERROR(__xludf.DUMMYFUNCTION("IMPORTRANGE(""https://docs.google.com/spreadsheets/d/1IYY_tgx_IHuhSq3AJ5eI5OnqOPBNLWSHKh2a30DoXe8/edit?usp=sharing"",""นราธิวาส!M480"")"),0)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IFERROR(__xludf.DUMMYFUNCTION("IMPORTRANGE(""https://docs.google.com/spreadsheets/d/1IYY_tgx_IHuhSq3AJ5eI5OnqOPBNLWSHKh2a30DoXe8/edit?usp=sharing"",""นราธิวาส!M481"")"),0)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IFERROR(__xludf.DUMMYFUNCTION("IMPORTRANGE(""https://docs.google.com/spreadsheets/d/1IYY_tgx_IHuhSq3AJ5eI5OnqOPBNLWSHKh2a30DoXe8/edit?usp=sharing"",""นราธิวาส!M482"")"),0)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IFERROR(__xludf.DUMMYFUNCTION("IMPORTRANGE(""https://docs.google.com/spreadsheets/d/1IYY_tgx_IHuhSq3AJ5eI5OnqOPBNLWSHKh2a30DoXe8/edit?usp=sharing"",""นราธิวาส!M483"")"),0)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4">
        <f ca="1">IFERROR(__xludf.DUMMYFUNCTION("IMPORTRANGE(""https://docs.google.com/spreadsheets/d/1IYY_tgx_IHuhSq3AJ5eI5OnqOPBNLWSHKh2a30DoXe8/edit?usp=sharing"",""นราธิวาส!J484"")"),0)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4">
        <f ca="1">IFERROR(__xludf.DUMMYFUNCTION("IMPORTRANGE(""https://docs.google.com/spreadsheets/d/1IYY_tgx_IHuhSq3AJ5eI5OnqOPBNLWSHKh2a30DoXe8/edit?usp=sharing"",""นราธิวาส!J485"")"),0)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4">
        <f ca="1">IFERROR(__xludf.DUMMYFUNCTION("IMPORTRANGE(""https://docs.google.com/spreadsheets/d/1IYY_tgx_IHuhSq3AJ5eI5OnqOPBNLWSHKh2a30DoXe8/edit?usp=sharing"",""นราธิวาส!J486"")"),0)</f>
        <v>0</v>
      </c>
      <c r="K591" s="167">
        <f t="shared" ca="1" si="124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4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4">
        <f ca="1">IFERROR(__xludf.DUMMYFUNCTION("IMPORTRANGE(""https://docs.google.com/spreadsheets/d/1IYY_tgx_IHuhSq3AJ5eI5OnqOPBNLWSHKh2a30DoXe8/edit?usp=sharing"",""นราธิวาส!J488"")"),0)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4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4">
        <f ca="1">IFERROR(__xludf.DUMMYFUNCTION("IMPORTRANGE(""https://docs.google.com/spreadsheets/d/1IYY_tgx_IHuhSq3AJ5eI5OnqOPBNLWSHKh2a30DoXe8/edit?usp=sharing"",""นราธิวาส!J490"")"),0)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IFERROR(__xludf.DUMMYFUNCTION("IMPORTRANGE(""https://docs.google.com/spreadsheets/d/1IYY_tgx_IHuhSq3AJ5eI5OnqOPBNLWSHKh2a30DoXe8/edit?usp=sharing"",""นราธิวาส!I491"")"),0)</f>
        <v>0</v>
      </c>
      <c r="J596" s="247">
        <f ca="1">IFERROR(__xludf.DUMMYFUNCTION("IMPORTRANGE(""https://docs.google.com/spreadsheets/d/1IYY_tgx_IHuhSq3AJ5eI5OnqOPBNLWSHKh2a30DoXe8/edit?usp=sharing"",""นราธิวาส!J491"")"),0)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4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IFERROR(__xludf.DUMMYFUNCTION("IMPORTRANGE(""https://docs.google.com/spreadsheets/d/1IYY_tgx_IHuhSq3AJ5eI5OnqOPBNLWSHKh2a30DoXe8/edit?usp=sharing"",""นราธิวาส!L492"")"),10690)</f>
        <v>10690</v>
      </c>
      <c r="M597" s="418"/>
      <c r="N597" s="418">
        <f ca="1">IFERROR(__xludf.DUMMYFUNCTION("IMPORTRANGE(""https://docs.google.com/spreadsheets/d/1IYY_tgx_IHuhSq3AJ5eI5OnqOPBNLWSHKh2a30DoXe8/edit?usp=sharing"",""นราธิวาส!M492"")"),15610)</f>
        <v>15610</v>
      </c>
      <c r="O597" s="418">
        <f t="shared" ref="O597:O601" ca="1" si="125">+IF(L597&gt;0,N597*100/L597,0)</f>
        <v>146.02432179607109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IFERROR(__xludf.DUMMYFUNCTION("IMPORTRANGE(""https://docs.google.com/spreadsheets/d/1IYY_tgx_IHuhSq3AJ5eI5OnqOPBNLWSHKh2a30DoXe8/edit?usp=sharing"",""นราธิวาส!L493"")"),0)</f>
        <v>0</v>
      </c>
      <c r="M598" s="168"/>
      <c r="N598" s="175">
        <f ca="1">IFERROR(__xludf.DUMMYFUNCTION("IMPORTRANGE(""https://docs.google.com/spreadsheets/d/1IYY_tgx_IHuhSq3AJ5eI5OnqOPBNLWSHKh2a30DoXe8/edit?usp=sharing"",""นราธิวาส!M493"")"),0)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IFERROR(__xludf.DUMMYFUNCTION("IMPORTRANGE(""https://docs.google.com/spreadsheets/d/1IYY_tgx_IHuhSq3AJ5eI5OnqOPBNLWSHKh2a30DoXe8/edit?usp=sharing"",""นราธิวาส!L494"")"),10690)</f>
        <v>10690</v>
      </c>
      <c r="M599" s="169"/>
      <c r="N599" s="175">
        <f ca="1">IFERROR(__xludf.DUMMYFUNCTION("IMPORTRANGE(""https://docs.google.com/spreadsheets/d/1IYY_tgx_IHuhSq3AJ5eI5OnqOPBNLWSHKh2a30DoXe8/edit?usp=sharing"",""นราธิวาส!M494"")"),15610)</f>
        <v>15610</v>
      </c>
      <c r="O599" s="175">
        <f t="shared" ca="1" si="125"/>
        <v>146.02432179607109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IFERROR(__xludf.DUMMYFUNCTION("IMPORTRANGE(""https://docs.google.com/spreadsheets/d/1IYY_tgx_IHuhSq3AJ5eI5OnqOPBNLWSHKh2a30DoXe8/edit?usp=sharing"",""นราธิวาส!L495"")"),0)</f>
        <v>0</v>
      </c>
      <c r="M600" s="175"/>
      <c r="N600" s="175">
        <f ca="1">IFERROR(__xludf.DUMMYFUNCTION("IMPORTRANGE(""https://docs.google.com/spreadsheets/d/1IYY_tgx_IHuhSq3AJ5eI5OnqOPBNLWSHKh2a30DoXe8/edit?usp=sharing"",""นราธิวาส!M495"")"),0)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IFERROR(__xludf.DUMMYFUNCTION("IMPORTRANGE(""https://docs.google.com/spreadsheets/d/1IYY_tgx_IHuhSq3AJ5eI5OnqOPBNLWSHKh2a30DoXe8/edit?usp=sharing"",""นราธิวาส!L496"")"),10690)</f>
        <v>10690</v>
      </c>
      <c r="M601" s="175"/>
      <c r="N601" s="175">
        <f ca="1">IFERROR(__xludf.DUMMYFUNCTION("IMPORTRANGE(""https://docs.google.com/spreadsheets/d/1IYY_tgx_IHuhSq3AJ5eI5OnqOPBNLWSHKh2a30DoXe8/edit?usp=sharing"",""นราธิวาส!M496"")"),15610)</f>
        <v>15610</v>
      </c>
      <c r="O601" s="175">
        <f t="shared" ca="1" si="125"/>
        <v>146.02432179607109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IFERROR(__xludf.DUMMYFUNCTION("IMPORTRANGE(""https://docs.google.com/spreadsheets/d/1IYY_tgx_IHuhSq3AJ5eI5OnqOPBNLWSHKh2a30DoXe8/edit?usp=sharing"",""นราธิวาส!M497"")"),0)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IFERROR(__xludf.DUMMYFUNCTION("IMPORTRANGE(""https://docs.google.com/spreadsheets/d/1IYY_tgx_IHuhSq3AJ5eI5OnqOPBNLWSHKh2a30DoXe8/edit?usp=sharing"",""นราธิวาส!M498"")"),0)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IFERROR(__xludf.DUMMYFUNCTION("IMPORTRANGE(""https://docs.google.com/spreadsheets/d/1IYY_tgx_IHuhSq3AJ5eI5OnqOPBNLWSHKh2a30DoXe8/edit?usp=sharing"",""นราธิวาส!M500"")"),15610)</f>
        <v>15610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IFERROR(__xludf.DUMMYFUNCTION("IMPORTRANGE(""https://docs.google.com/spreadsheets/d/1IYY_tgx_IHuhSq3AJ5eI5OnqOPBNLWSHKh2a30DoXe8/edit?usp=sharing"",""นราธิวาส!J502"")"),0)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IFERROR(__xludf.DUMMYFUNCTION("IMPORTRANGE(""https://docs.google.com/spreadsheets/d/1IYY_tgx_IHuhSq3AJ5eI5OnqOPBNLWSHKh2a30DoXe8/edit?usp=sharing"",""นราธิวาส!J503"")"),1)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IFERROR(__xludf.DUMMYFUNCTION("IMPORTRANGE(""https://docs.google.com/spreadsheets/d/1IYY_tgx_IHuhSq3AJ5eI5OnqOPBNLWSHKh2a30DoXe8/edit?usp=sharing"",""นราธิวาส!J166"")"),0)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IFERROR(__xludf.DUMMYFUNCTION("IMPORTRANGE(""https://docs.google.com/spreadsheets/d/1IYY_tgx_IHuhSq3AJ5eI5OnqOPBNLWSHKh2a30DoXe8/edit?usp=sharing"",""นราธิวาส!J166"")"),0)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IFERROR(__xludf.DUMMYFUNCTION("IMPORTRANGE(""https://docs.google.com/spreadsheets/d/1IYY_tgx_IHuhSq3AJ5eI5OnqOPBNLWSHKh2a30DoXe8/edit?usp=sharing"",""นราธิวาส!I506"")"),50)</f>
        <v>50</v>
      </c>
      <c r="J611" s="166">
        <f ca="1">IFERROR(__xludf.DUMMYFUNCTION("IMPORTRANGE(""https://docs.google.com/spreadsheets/d/1IYY_tgx_IHuhSq3AJ5eI5OnqOPBNLWSHKh2a30DoXe8/edit?usp=sharing"",""นราธิวาส!J506"")"),0)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IFERROR(__xludf.DUMMYFUNCTION("IMPORTRANGE(""https://docs.google.com/spreadsheets/d/1IYY_tgx_IHuhSq3AJ5eI5OnqOPBNLWSHKh2a30DoXe8/edit?usp=sharing"",""นราธิวาส!I507"")"),0)</f>
        <v>0</v>
      </c>
      <c r="J612" s="204">
        <f ca="1">IFERROR(__xludf.DUMMYFUNCTION("IMPORTRANGE(""https://docs.google.com/spreadsheets/d/1IYY_tgx_IHuhSq3AJ5eI5OnqOPBNLWSHKh2a30DoXe8/edit?usp=sharing"",""นราธิวาส!J507"")"),50)</f>
        <v>50</v>
      </c>
      <c r="K612" s="167">
        <f t="shared" ca="1" si="126"/>
        <v>100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IFERROR(__xludf.DUMMYFUNCTION("IMPORTRANGE(""https://docs.google.com/spreadsheets/d/1IYY_tgx_IHuhSq3AJ5eI5OnqOPBNLWSHKh2a30DoXe8/edit?usp=sharing"",""นราธิวาส!I508"")"),0)</f>
        <v>0</v>
      </c>
      <c r="J613" s="204">
        <f ca="1">IFERROR(__xludf.DUMMYFUNCTION("IMPORTRANGE(""https://docs.google.com/spreadsheets/d/1IYY_tgx_IHuhSq3AJ5eI5OnqOPBNLWSHKh2a30DoXe8/edit?usp=sharing"",""นราธิวาส!J508"")"),50)</f>
        <v>50</v>
      </c>
      <c r="K613" s="167">
        <f t="shared" ca="1" si="126"/>
        <v>100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IFERROR(__xludf.DUMMYFUNCTION("IMPORTRANGE(""https://docs.google.com/spreadsheets/d/1IYY_tgx_IHuhSq3AJ5eI5OnqOPBNLWSHKh2a30DoXe8/edit?usp=sharing"",""นราธิวาส!I509"")"),0)</f>
        <v>0</v>
      </c>
      <c r="J614" s="204">
        <f ca="1">IFERROR(__xludf.DUMMYFUNCTION("IMPORTRANGE(""https://docs.google.com/spreadsheets/d/1IYY_tgx_IHuhSq3AJ5eI5OnqOPBNLWSHKh2a30DoXe8/edit?usp=sharing"",""นราธิวาส!J509"")"),50)</f>
        <v>50</v>
      </c>
      <c r="K614" s="167">
        <f t="shared" ca="1" si="126"/>
        <v>100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IFERROR(__xludf.DUMMYFUNCTION("IMPORTRANGE(""https://docs.google.com/spreadsheets/d/1IYY_tgx_IHuhSq3AJ5eI5OnqOPBNLWSHKh2a30DoXe8/edit?usp=sharing"",""นราธิวาส!I510"")"),0)</f>
        <v>0</v>
      </c>
      <c r="J615" s="204">
        <f ca="1">IFERROR(__xludf.DUMMYFUNCTION("IMPORTRANGE(""https://docs.google.com/spreadsheets/d/1IYY_tgx_IHuhSq3AJ5eI5OnqOPBNLWSHKh2a30DoXe8/edit?usp=sharing"",""นราธิวาส!J510"")"),50)</f>
        <v>50</v>
      </c>
      <c r="K615" s="167">
        <f t="shared" ca="1" si="126"/>
        <v>100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IFERROR(__xludf.DUMMYFUNCTION("IMPORTRANGE(""https://docs.google.com/spreadsheets/d/1IYY_tgx_IHuhSq3AJ5eI5OnqOPBNLWSHKh2a30DoXe8/edit?usp=sharing"",""นราธิวาส!I511"")"),0)</f>
        <v>0</v>
      </c>
      <c r="J616" s="204">
        <f ca="1">IFERROR(__xludf.DUMMYFUNCTION("IMPORTRANGE(""https://docs.google.com/spreadsheets/d/1IYY_tgx_IHuhSq3AJ5eI5OnqOPBNLWSHKh2a30DoXe8/edit?usp=sharing"",""นราธิวาส!J511"")"),50)</f>
        <v>50</v>
      </c>
      <c r="K616" s="167">
        <f t="shared" ca="1" si="126"/>
        <v>100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IFERROR(__xludf.DUMMYFUNCTION("IMPORTRANGE(""https://docs.google.com/spreadsheets/d/1IYY_tgx_IHuhSq3AJ5eI5OnqOPBNLWSHKh2a30DoXe8/edit?usp=sharing"",""นราธิวาส!I512"")"),0)</f>
        <v>0</v>
      </c>
      <c r="J617" s="194">
        <f ca="1">IFERROR(__xludf.DUMMYFUNCTION("IMPORTRANGE(""https://docs.google.com/spreadsheets/d/1IYY_tgx_IHuhSq3AJ5eI5OnqOPBNLWSHKh2a30DoXe8/edit?usp=sharing"",""นราธิวาส!J512"")"),0)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IFERROR(__xludf.DUMMYFUNCTION("IMPORTRANGE(""https://docs.google.com/spreadsheets/d/1IYY_tgx_IHuhSq3AJ5eI5OnqOPBNLWSHKh2a30DoXe8/edit?usp=sharing"",""นราธิวาส!I513"")"),0)</f>
        <v>0</v>
      </c>
      <c r="J618" s="195">
        <f ca="1">IFERROR(__xludf.DUMMYFUNCTION("IMPORTRANGE(""https://docs.google.com/spreadsheets/d/1IYY_tgx_IHuhSq3AJ5eI5OnqOPBNLWSHKh2a30DoXe8/edit?usp=sharing"",""นราธิวาส!J513"")"),0)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IFERROR(__xludf.DUMMYFUNCTION("IMPORTRANGE(""https://docs.google.com/spreadsheets/d/1IYY_tgx_IHuhSq3AJ5eI5OnqOPBNLWSHKh2a30DoXe8/edit?usp=sharing"",""นราธิวาส!I514"")"),0)</f>
        <v>0</v>
      </c>
      <c r="J619" s="195">
        <f ca="1">IFERROR(__xludf.DUMMYFUNCTION("IMPORTRANGE(""https://docs.google.com/spreadsheets/d/1IYY_tgx_IHuhSq3AJ5eI5OnqOPBNLWSHKh2a30DoXe8/edit?usp=sharing"",""นราธิวาส!J514"")"),0)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09">
        <f ca="1">IFERROR(__xludf.DUMMYFUNCTION("IMPORTRANGE(""https://docs.google.com/spreadsheets/d/1IYY_tgx_IHuhSq3AJ5eI5OnqOPBNLWSHKh2a30DoXe8/edit?usp=sharing"",""นราธิวาส!J515"")"),267)</f>
        <v>267</v>
      </c>
      <c r="K620" s="167">
        <f t="shared" ref="K620:K626" ca="1" si="127">IF(I$620&gt;0,J620*100/I$620,0)</f>
        <v>100.05996102533391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IFERROR(__xludf.DUMMYFUNCTION("IMPORTRANGE(""https://docs.google.com/spreadsheets/d/1IYY_tgx_IHuhSq3AJ5eI5OnqOPBNLWSHKh2a30DoXe8/edit?usp=sharing"",""นราธิวาส!I516"")"),0)</f>
        <v>0</v>
      </c>
      <c r="J621" s="209">
        <f ca="1">IFERROR(__xludf.DUMMYFUNCTION("IMPORTRANGE(""https://docs.google.com/spreadsheets/d/1IYY_tgx_IHuhSq3AJ5eI5OnqOPBNLWSHKh2a30DoXe8/edit?usp=sharing"",""นราธิวาส!J516"")"),267)</f>
        <v>267</v>
      </c>
      <c r="K621" s="167">
        <f t="shared" ca="1" si="127"/>
        <v>100.05996102533391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IFERROR(__xludf.DUMMYFUNCTION("IMPORTRANGE(""https://docs.google.com/spreadsheets/d/1IYY_tgx_IHuhSq3AJ5eI5OnqOPBNLWSHKh2a30DoXe8/edit?usp=sharing"",""นราธิวาส!I517"")"),0)</f>
        <v>0</v>
      </c>
      <c r="J622" s="195">
        <f ca="1">IFERROR(__xludf.DUMMYFUNCTION("IMPORTRANGE(""https://docs.google.com/spreadsheets/d/1IYY_tgx_IHuhSq3AJ5eI5OnqOPBNLWSHKh2a30DoXe8/edit?usp=sharing"",""นราธิวาส!J517"")"),125)</f>
        <v>125</v>
      </c>
      <c r="K622" s="167">
        <f t="shared" ca="1" si="127"/>
        <v>46.844551041822989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IFERROR(__xludf.DUMMYFUNCTION("IMPORTRANGE(""https://docs.google.com/spreadsheets/d/1IYY_tgx_IHuhSq3AJ5eI5OnqOPBNLWSHKh2a30DoXe8/edit?usp=sharing"",""นราธิวาส!I518"")"),0)</f>
        <v>0</v>
      </c>
      <c r="J623" s="195">
        <f ca="1">IFERROR(__xludf.DUMMYFUNCTION("IMPORTRANGE(""https://docs.google.com/spreadsheets/d/1IYY_tgx_IHuhSq3AJ5eI5OnqOPBNLWSHKh2a30DoXe8/edit?usp=sharing"",""นราธิวาส!J518"")"),142)</f>
        <v>142</v>
      </c>
      <c r="K623" s="167">
        <f t="shared" ca="1" si="127"/>
        <v>53.215409983510916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IFERROR(__xludf.DUMMYFUNCTION("IMPORTRANGE(""https://docs.google.com/spreadsheets/d/1IYY_tgx_IHuhSq3AJ5eI5OnqOPBNLWSHKh2a30DoXe8/edit?usp=sharing"",""นราธิวาส!I519"")"),0)</f>
        <v>0</v>
      </c>
      <c r="J624" s="194">
        <f ca="1">IFERROR(__xludf.DUMMYFUNCTION("IMPORTRANGE(""https://docs.google.com/spreadsheets/d/1IYY_tgx_IHuhSq3AJ5eI5OnqOPBNLWSHKh2a30DoXe8/edit?usp=sharing"",""นราธิวาส!J519"")"),267)</f>
        <v>267</v>
      </c>
      <c r="K624" s="167">
        <f t="shared" ca="1" si="127"/>
        <v>100.05996102533391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IFERROR(__xludf.DUMMYFUNCTION("IMPORTRANGE(""https://docs.google.com/spreadsheets/d/1IYY_tgx_IHuhSq3AJ5eI5OnqOPBNLWSHKh2a30DoXe8/edit?usp=sharing"",""นราธิวาส!I520"")"),0)</f>
        <v>0</v>
      </c>
      <c r="J625" s="195">
        <f ca="1">IFERROR(__xludf.DUMMYFUNCTION("IMPORTRANGE(""https://docs.google.com/spreadsheets/d/1IYY_tgx_IHuhSq3AJ5eI5OnqOPBNLWSHKh2a30DoXe8/edit?usp=sharing"",""นราธิวาส!J520"")"),248)</f>
        <v>248</v>
      </c>
      <c r="K625" s="167">
        <f t="shared" ca="1" si="127"/>
        <v>92.93958926697681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IFERROR(__xludf.DUMMYFUNCTION("IMPORTRANGE(""https://docs.google.com/spreadsheets/d/1IYY_tgx_IHuhSq3AJ5eI5OnqOPBNLWSHKh2a30DoXe8/edit?usp=sharing"",""นราธิวาส!I521"")"),0)</f>
        <v>0</v>
      </c>
      <c r="J626" s="195">
        <f ca="1">IFERROR(__xludf.DUMMYFUNCTION("IMPORTRANGE(""https://docs.google.com/spreadsheets/d/1IYY_tgx_IHuhSq3AJ5eI5OnqOPBNLWSHKh2a30DoXe8/edit?usp=sharing"",""นราธิวาส!J521"")"),248)</f>
        <v>248</v>
      </c>
      <c r="K626" s="167">
        <f t="shared" ca="1" si="127"/>
        <v>92.93958926697681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IFERROR(__xludf.DUMMYFUNCTION("IMPORTRANGE(""https://docs.google.com/spreadsheets/d/1IYY_tgx_IHuhSq3AJ5eI5OnqOPBNLWSHKh2a30DoXe8/edit?usp=sharing"",""นราธิวาส!J523"")"),310090.28)</f>
        <v>310090.28000000003</v>
      </c>
      <c r="K628" s="348">
        <f t="shared" ref="K628:K635" ca="1" si="128">IF(I628&gt;0,J628*100/I628,0)</f>
        <v>100.27696518695677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IFERROR(__xludf.DUMMYFUNCTION("IMPORTRANGE(""https://docs.google.com/spreadsheets/d/1IYY_tgx_IHuhSq3AJ5eI5OnqOPBNLWSHKh2a30DoXe8/edit?usp=sharing"",""นราธิวาส!J524"")"),29)</f>
        <v>29</v>
      </c>
      <c r="K629" s="348">
        <f t="shared" ca="1" si="128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IFERROR(__xludf.DUMMYFUNCTION("IMPORTRANGE(""https://docs.google.com/spreadsheets/d/1IYY_tgx_IHuhSq3AJ5eI5OnqOPBNLWSHKh2a30DoXe8/edit?usp=sharing"",""นราธิวาส!J525"")"),23671.96)</f>
        <v>23671.96</v>
      </c>
      <c r="K630" s="348">
        <f t="shared" ca="1" si="128"/>
        <v>8.3169230874092452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IFERROR(__xludf.DUMMYFUNCTION("IMPORTRANGE(""https://docs.google.com/spreadsheets/d/1IYY_tgx_IHuhSq3AJ5eI5OnqOPBNLWSHKh2a30DoXe8/edit?usp=sharing"",""นราธิวาส!J526"")"),10)</f>
        <v>10</v>
      </c>
      <c r="K631" s="348">
        <f t="shared" ca="1" si="128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IFERROR(__xludf.DUMMYFUNCTION("IMPORTRANGE(""https://docs.google.com/spreadsheets/d/1IYY_tgx_IHuhSq3AJ5eI5OnqOPBNLWSHKh2a30DoXe8/edit?usp=sharing"",""นราธิวาส!J527"")"),59583.29)</f>
        <v>59583.29</v>
      </c>
      <c r="K632" s="348">
        <f t="shared" ca="1" si="128"/>
        <v>73.429230540387351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IFERROR(__xludf.DUMMYFUNCTION("IMPORTRANGE(""https://docs.google.com/spreadsheets/d/1IYY_tgx_IHuhSq3AJ5eI5OnqOPBNLWSHKh2a30DoXe8/edit?usp=sharing"",""นราธิวาส!J528"")"),93)</f>
        <v>93</v>
      </c>
      <c r="K633" s="348">
        <f t="shared" ca="1" si="128"/>
        <v>73.228346456692918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IFERROR(__xludf.DUMMYFUNCTION("IMPORTRANGE(""https://docs.google.com/spreadsheets/d/1IYY_tgx_IHuhSq3AJ5eI5OnqOPBNLWSHKh2a30DoXe8/edit?usp=sharing"",""นราธิวาส!I529"")"),420000)</f>
        <v>420000</v>
      </c>
      <c r="J634" s="347">
        <f ca="1">IFERROR(__xludf.DUMMYFUNCTION("IMPORTRANGE(""https://docs.google.com/spreadsheets/d/1IYY_tgx_IHuhSq3AJ5eI5OnqOPBNLWSHKh2a30DoXe8/edit?usp=sharing"",""นราธิวาส!J529"")"),300000)</f>
        <v>300000</v>
      </c>
      <c r="K634" s="348">
        <f t="shared" ca="1" si="128"/>
        <v>71.428571428571431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IFERROR(__xludf.DUMMYFUNCTION("IMPORTRANGE(""https://docs.google.com/spreadsheets/d/1IYY_tgx_IHuhSq3AJ5eI5OnqOPBNLWSHKh2a30DoXe8/edit?usp=sharing"",""นราธิวาส!I530"")"),13)</f>
        <v>13</v>
      </c>
      <c r="J635" s="518">
        <f ca="1">IFERROR(__xludf.DUMMYFUNCTION("IMPORTRANGE(""https://docs.google.com/spreadsheets/d/1IYY_tgx_IHuhSq3AJ5eI5OnqOPBNLWSHKh2a30DoXe8/edit?usp=sharing"",""นราธิวาส!J530"")"),7)</f>
        <v>7</v>
      </c>
      <c r="K635" s="493">
        <f t="shared" ca="1" si="128"/>
        <v>53.846153846153847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13395</v>
      </c>
      <c r="M636" s="524"/>
      <c r="N636" s="523">
        <f ca="1">SUM(N637:N638)</f>
        <v>9350</v>
      </c>
      <c r="O636" s="523">
        <f t="shared" ref="O636:O640" ca="1" si="129">+IF(L636&gt;0,N636*100/L636,0)</f>
        <v>69.802164986935423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13395</v>
      </c>
      <c r="M638" s="534"/>
      <c r="N638" s="535">
        <f ca="1">SUM(N639:N640)</f>
        <v>9350</v>
      </c>
      <c r="O638" s="535">
        <f t="shared" ca="1" si="129"/>
        <v>69.802164986935423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13395</v>
      </c>
      <c r="M640" s="534"/>
      <c r="N640" s="535">
        <f ca="1">SUM(N641:N644)</f>
        <v>9350</v>
      </c>
      <c r="O640" s="535">
        <f t="shared" ca="1" si="129"/>
        <v>69.802164986935423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9350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IFERROR(__xludf.DUMMYFUNCTION("IMPORTRANGE(""https://docs.google.com/spreadsheets/d/1IYY_tgx_IHuhSq3AJ5eI5OnqOPBNLWSHKh2a30DoXe8/edit?usp=sharing"",""นราธิวาส!J541"")"),0)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IFERROR(__xludf.DUMMYFUNCTION("IMPORTRANGE(""https://docs.google.com/spreadsheets/d/1IYY_tgx_IHuhSq3AJ5eI5OnqOPBNLWSHKh2a30DoXe8/edit?usp=sharing"",""นราธิวาส!J542"")"),0)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IFERROR(__xludf.DUMMYFUNCTION("IMPORTRANGE(""https://docs.google.com/spreadsheets/d/1IYY_tgx_IHuhSq3AJ5eI5OnqOPBNLWSHKh2a30DoXe8/edit?usp=sharing"",""นราธิวาส!I543"")"),63)</f>
        <v>63</v>
      </c>
      <c r="J648" s="547">
        <f ca="1">IFERROR(__xludf.DUMMYFUNCTION("IMPORTRANGE(""https://docs.google.com/spreadsheets/d/1IYY_tgx_IHuhSq3AJ5eI5OnqOPBNLWSHKh2a30DoXe8/edit?usp=sharing"",""นราธิวาส!J543"")"),11)</f>
        <v>11</v>
      </c>
      <c r="K648" s="548">
        <f t="shared" ref="K648:K651" ca="1" si="130">IF(I648&gt;0,J648*100/I648,0)</f>
        <v>17.460317460317459</v>
      </c>
      <c r="L648" s="535">
        <f ca="1">IFERROR(__xludf.DUMMYFUNCTION("IMPORTRANGE(""https://docs.google.com/spreadsheets/d/1IYY_tgx_IHuhSq3AJ5eI5OnqOPBNLWSHKh2a30DoXe8/edit?usp=sharing"",""นราธิวาส!L543"")"),7875)</f>
        <v>7875</v>
      </c>
      <c r="M648" s="534"/>
      <c r="N648" s="549">
        <f ca="1">IFERROR(__xludf.DUMMYFUNCTION("IMPORTRANGE(""https://docs.google.com/spreadsheets/d/1IYY_tgx_IHuhSq3AJ5eI5OnqOPBNLWSHKh2a30DoXe8/edit?usp=sharing"",""นราธิวาส!M543"")"),5640)</f>
        <v>5640</v>
      </c>
      <c r="O648" s="548">
        <f t="shared" ref="O648:O651" ca="1" si="131">IF(L648&gt;0,N648*100/L648,0)</f>
        <v>71.61904761904762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IFERROR(__xludf.DUMMYFUNCTION("IMPORTRANGE(""https://docs.google.com/spreadsheets/d/1IYY_tgx_IHuhSq3AJ5eI5OnqOPBNLWSHKh2a30DoXe8/edit?usp=sharing"",""นราธิวาส!I544"")"),46)</f>
        <v>46</v>
      </c>
      <c r="J649" s="547">
        <f ca="1">IFERROR(__xludf.DUMMYFUNCTION("IMPORTRANGE(""https://docs.google.com/spreadsheets/d/1IYY_tgx_IHuhSq3AJ5eI5OnqOPBNLWSHKh2a30DoXe8/edit?usp=sharing"",""นราธิวาส!J544"")"),0)</f>
        <v>0</v>
      </c>
      <c r="K649" s="548">
        <f t="shared" ca="1" si="130"/>
        <v>0</v>
      </c>
      <c r="L649" s="535">
        <f ca="1">IFERROR(__xludf.DUMMYFUNCTION("IMPORTRANGE(""https://docs.google.com/spreadsheets/d/1IYY_tgx_IHuhSq3AJ5eI5OnqOPBNLWSHKh2a30DoXe8/edit?usp=sharing"",""นราธิวาส!L544"")"),5520)</f>
        <v>5520</v>
      </c>
      <c r="M649" s="534"/>
      <c r="N649" s="549">
        <f ca="1">IFERROR(__xludf.DUMMYFUNCTION("IMPORTRANGE(""https://docs.google.com/spreadsheets/d/1IYY_tgx_IHuhSq3AJ5eI5OnqOPBNLWSHKh2a30DoXe8/edit?usp=sharing"",""นราธิวาส!M544"")"),3710)</f>
        <v>3710</v>
      </c>
      <c r="O649" s="548">
        <f t="shared" ca="1" si="131"/>
        <v>67.210144927536234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IFERROR(__xludf.DUMMYFUNCTION("IMPORTRANGE(""https://docs.google.com/spreadsheets/d/1IYY_tgx_IHuhSq3AJ5eI5OnqOPBNLWSHKh2a30DoXe8/edit?usp=sharing"",""นราธิวาส!I545"")"),0)</f>
        <v>0</v>
      </c>
      <c r="J650" s="547">
        <f ca="1">IFERROR(__xludf.DUMMYFUNCTION("IMPORTRANGE(""https://docs.google.com/spreadsheets/d/1IYY_tgx_IHuhSq3AJ5eI5OnqOPBNLWSHKh2a30DoXe8/edit?usp=sharing"",""นราธิวาส!J545"")"),0)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IFERROR(__xludf.DUMMYFUNCTION("IMPORTRANGE(""https://docs.google.com/spreadsheets/d/1IYY_tgx_IHuhSq3AJ5eI5OnqOPBNLWSHKh2a30DoXe8/edit?usp=sharing"",""นราธิวาส!L545"")"),0)</f>
        <v>0</v>
      </c>
      <c r="M650" s="534"/>
      <c r="N650" s="549">
        <f ca="1">IFERROR(__xludf.DUMMYFUNCTION("IMPORTRANGE(""https://docs.google.com/spreadsheets/d/1IYY_tgx_IHuhSq3AJ5eI5OnqOPBNLWSHKh2a30DoXe8/edit?usp=sharing"",""นราธิวาส!M545"")"),0)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IFERROR(__xludf.DUMMYFUNCTION("IMPORTRANGE(""https://docs.google.com/spreadsheets/d/1IYY_tgx_IHuhSq3AJ5eI5OnqOPBNLWSHKh2a30DoXe8/edit?usp=sharing"",""นราธิวาส!I546"")"),0)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IFERROR(__xludf.DUMMYFUNCTION("IMPORTRANGE(""https://docs.google.com/spreadsheets/d/1IYY_tgx_IHuhSq3AJ5eI5OnqOPBNLWSHKh2a30DoXe8/edit?usp=sharing"",""นราธิวาส!L546"")"),0)</f>
        <v>0</v>
      </c>
      <c r="M651" s="534"/>
      <c r="N651" s="549">
        <f ca="1">IFERROR(__xludf.DUMMYFUNCTION("IMPORTRANGE(""https://docs.google.com/spreadsheets/d/1IYY_tgx_IHuhSq3AJ5eI5OnqOPBNLWSHKh2a30DoXe8/edit?usp=sharing"",""นราธิวาส!M546"")"),0)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IFERROR(__xludf.DUMMYFUNCTION("IMPORTRANGE(""https://docs.google.com/spreadsheets/d/1IYY_tgx_IHuhSq3AJ5eI5OnqOPBNLWSHKh2a30DoXe8/edit?usp=sharing"",""นราธิวาส!J547"")"),0)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IFERROR(__xludf.DUMMYFUNCTION("IMPORTRANGE(""https://docs.google.com/spreadsheets/d/1IYY_tgx_IHuhSq3AJ5eI5OnqOPBNLWSHKh2a30DoXe8/edit?usp=sharing"",""นราธิวาส!J548"")"),0)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IFERROR(__xludf.DUMMYFUNCTION("IMPORTRANGE(""https://docs.google.com/spreadsheets/d/1IYY_tgx_IHuhSq3AJ5eI5OnqOPBNLWSHKh2a30DoXe8/edit?usp=sharing"",""นราธิวาส!J550"")"),0)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IFERROR(__xludf.DUMMYFUNCTION("IMPORTRANGE(""https://docs.google.com/spreadsheets/d/1IYY_tgx_IHuhSq3AJ5eI5OnqOPBNLWSHKh2a30DoXe8/edit?usp=sharing"",""นราธิวาส!J551"")"),0)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IFERROR(__xludf.DUMMYFUNCTION("IMPORTRANGE(""https://docs.google.com/spreadsheets/d/1IYY_tgx_IHuhSq3AJ5eI5OnqOPBNLWSHKh2a30DoXe8/edit?usp=sharing"",""นราธิวาส!J552"")"),0)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IFERROR(__xludf.DUMMYFUNCTION("IMPORTRANGE(""https://docs.google.com/spreadsheets/d/1IYY_tgx_IHuhSq3AJ5eI5OnqOPBNLWSHKh2a30DoXe8/edit?usp=sharing"",""นราธิวาส!J553"")"),0)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IFERROR(__xludf.DUMMYFUNCTION("IMPORTRANGE(""https://docs.google.com/spreadsheets/d/1IYY_tgx_IHuhSq3AJ5eI5OnqOPBNLWSHKh2a30DoXe8/edit?usp=sharing"",""นราธิวาส!J554"")"),0)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IFERROR(__xludf.DUMMYFUNCTION("IMPORTRANGE(""https://docs.google.com/spreadsheets/d/1IYY_tgx_IHuhSq3AJ5eI5OnqOPBNLWSHKh2a30DoXe8/edit?usp=sharing"",""นราธิวาส!J555"")"),0)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IFERROR(__xludf.DUMMYFUNCTION("IMPORTRANGE(""https://docs.google.com/spreadsheets/d/1IYY_tgx_IHuhSq3AJ5eI5OnqOPBNLWSHKh2a30DoXe8/edit?usp=sharing"",""นราธิวาส!J556"")"),0)</f>
        <v>0</v>
      </c>
      <c r="K661" s="548"/>
      <c r="L661" s="535">
        <f ca="1">IFERROR(__xludf.DUMMYFUNCTION("IMPORTRANGE(""https://docs.google.com/spreadsheets/d/1IYY_tgx_IHuhSq3AJ5eI5OnqOPBNLWSHKh2a30DoXe8/edit?usp=sharing"",""นราธิวาส!L556"")"),0)</f>
        <v>0</v>
      </c>
      <c r="M661" s="534"/>
      <c r="N661" s="549">
        <f ca="1">IFERROR(__xludf.DUMMYFUNCTION("IMPORTRANGE(""https://docs.google.com/spreadsheets/d/1IYY_tgx_IHuhSq3AJ5eI5OnqOPBNLWSHKh2a30DoXe8/edit?usp=sharing"",""นราธิวาส!M556"")"),0)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IFERROR(__xludf.DUMMYFUNCTION("IMPORTRANGE(""https://docs.google.com/spreadsheets/d/1IYY_tgx_IHuhSq3AJ5eI5OnqOPBNLWSHKh2a30DoXe8/edit?usp=sharing"",""นราธิวาส!J557"")"),0)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IFERROR(__xludf.DUMMYFUNCTION("IMPORTRANGE(""https://docs.google.com/spreadsheets/d/1IYY_tgx_IHuhSq3AJ5eI5OnqOPBNLWSHKh2a30DoXe8/edit?usp=sharing"",""นราธิวาส!I558"")"),0)</f>
        <v>0</v>
      </c>
      <c r="J663" s="547">
        <f ca="1">IFERROR(__xludf.DUMMYFUNCTION("IMPORTRANGE(""https://docs.google.com/spreadsheets/d/1IYY_tgx_IHuhSq3AJ5eI5OnqOPBNLWSHKh2a30DoXe8/edit?usp=sharing"",""นราธิวาส!J558"")"),0)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IFERROR(__xludf.DUMMYFUNCTION("IMPORTRANGE(""https://docs.google.com/spreadsheets/d/1IYY_tgx_IHuhSq3AJ5eI5OnqOPBNLWSHKh2a30DoXe8/edit?usp=sharing"",""นราธิวาส!I560"")"),0)</f>
        <v>0</v>
      </c>
      <c r="J665" s="547">
        <f ca="1">IFERROR(__xludf.DUMMYFUNCTION("IMPORTRANGE(""https://docs.google.com/spreadsheets/d/1IYY_tgx_IHuhSq3AJ5eI5OnqOPBNLWSHKh2a30DoXe8/edit?usp=sharing"",""นราธิวาส!J560"")"),0)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IFERROR(__xludf.DUMMYFUNCTION("IMPORTRANGE(""https://docs.google.com/spreadsheets/d/1IYY_tgx_IHuhSq3AJ5eI5OnqOPBNLWSHKh2a30DoXe8/edit?usp=sharing"",""นราธิวาส!L560"")"),0)</f>
        <v>0</v>
      </c>
      <c r="M665" s="534"/>
      <c r="N665" s="549">
        <f ca="1">IFERROR(__xludf.DUMMYFUNCTION("IMPORTRANGE(""https://docs.google.com/spreadsheets/d/1IYY_tgx_IHuhSq3AJ5eI5OnqOPBNLWSHKh2a30DoXe8/edit?usp=sharing"",""นราธิวาส!M560"")"),0)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IFERROR(__xludf.DUMMYFUNCTION("IMPORTRANGE(""https://docs.google.com/spreadsheets/d/1IYY_tgx_IHuhSq3AJ5eI5OnqOPBNLWSHKh2a30DoXe8/edit?usp=sharing"",""นราธิวาส!J561"")"),0)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IFERROR(__xludf.DUMMYFUNCTION("IMPORTRANGE(""https://docs.google.com/spreadsheets/d/1IYY_tgx_IHuhSq3AJ5eI5OnqOPBNLWSHKh2a30DoXe8/edit?usp=sharing"",""นราธิวาส!J562"")"),0)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IFERROR(__xludf.DUMMYFUNCTION("IMPORTRANGE(""https://docs.google.com/spreadsheets/d/1IYY_tgx_IHuhSq3AJ5eI5OnqOPBNLWSHKh2a30DoXe8/edit?usp=sharing"",""นราธิวาส!I563"")"),0)</f>
        <v>0</v>
      </c>
      <c r="J668" s="547">
        <f ca="1">IFERROR(__xludf.DUMMYFUNCTION("IMPORTRANGE(""https://docs.google.com/spreadsheets/d/1IYY_tgx_IHuhSq3AJ5eI5OnqOPBNLWSHKh2a30DoXe8/edit?usp=sharing"",""นราธิวาส!J563"")"),0)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IFERROR(__xludf.DUMMYFUNCTION("IMPORTRANGE(""https://docs.google.com/spreadsheets/d/1IYY_tgx_IHuhSq3AJ5eI5OnqOPBNLWSHKh2a30DoXe8/edit?usp=sharing"",""นราธิวาส!L563"")"),0)</f>
        <v>0</v>
      </c>
      <c r="M668" s="534"/>
      <c r="N668" s="549">
        <f ca="1">IFERROR(__xludf.DUMMYFUNCTION("IMPORTRANGE(""https://docs.google.com/spreadsheets/d/1IYY_tgx_IHuhSq3AJ5eI5OnqOPBNLWSHKh2a30DoXe8/edit?usp=sharing"",""นราธิวาส!M563"")"),0)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IFERROR(__xludf.DUMMYFUNCTION("IMPORTRANGE(""https://docs.google.com/spreadsheets/d/1IYY_tgx_IHuhSq3AJ5eI5OnqOPBNLWSHKh2a30DoXe8/edit?usp=sharing"",""นราธิวาส!J564"")"),0)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IFERROR(__xludf.DUMMYFUNCTION("IMPORTRANGE(""https://docs.google.com/spreadsheets/d/1IYY_tgx_IHuhSq3AJ5eI5OnqOPBNLWSHKh2a30DoXe8/edit?usp=sharing"",""นราธิวาส!J565"")"),0)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IFERROR(__xludf.DUMMYFUNCTION("IMPORTRANGE(""https://docs.google.com/spreadsheets/d/1IYY_tgx_IHuhSq3AJ5eI5OnqOPBNLWSHKh2a30DoXe8/edit?usp=sharing"",""นราธิวาส!I566"")"),0)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IFERROR(__xludf.DUMMYFUNCTION("IMPORTRANGE(""https://docs.google.com/spreadsheets/d/1IYY_tgx_IHuhSq3AJ5eI5OnqOPBNLWSHKh2a30DoXe8/edit?usp=sharing"",""นราธิวาส!L566"")"),0)</f>
        <v>0</v>
      </c>
      <c r="M671" s="534"/>
      <c r="N671" s="549">
        <f ca="1">IFERROR(__xludf.DUMMYFUNCTION("IMPORTRANGE(""https://docs.google.com/spreadsheets/d/1IYY_tgx_IHuhSq3AJ5eI5OnqOPBNLWSHKh2a30DoXe8/edit?usp=sharing"",""นราธิวาส!M566"")"),0)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IFERROR(__xludf.DUMMYFUNCTION("IMPORTRANGE(""https://docs.google.com/spreadsheets/d/1IYY_tgx_IHuhSq3AJ5eI5OnqOPBNLWSHKh2a30DoXe8/edit?usp=sharing"",""นราธิวาส!J567"")"),0)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IFERROR(__xludf.DUMMYFUNCTION("IMPORTRANGE(""https://docs.google.com/spreadsheets/d/1IYY_tgx_IHuhSq3AJ5eI5OnqOPBNLWSHKh2a30DoXe8/edit?usp=sharing"",""นราธิวาส!J568"")"),0)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IFERROR(__xludf.DUMMYFUNCTION("IMPORTRANGE(""https://docs.google.com/spreadsheets/d/1IYY_tgx_IHuhSq3AJ5eI5OnqOPBNLWSHKh2a30DoXe8/edit?usp=sharing"",""นราธิวาส!J569"")"),0)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IFERROR(__xludf.DUMMYFUNCTION("IMPORTRANGE(""https://docs.google.com/spreadsheets/d/1IYY_tgx_IHuhSq3AJ5eI5OnqOPBNLWSHKh2a30DoXe8/edit?usp=sharing"",""นราธิวาส!J570"")"),0)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IFERROR(__xludf.DUMMYFUNCTION("IMPORTRANGE(""https://docs.google.com/spreadsheets/d/1IYY_tgx_IHuhSq3AJ5eI5OnqOPBNLWSHKh2a30DoXe8/edit?usp=sharing"",""นราธิวาส!J571"")"),0)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IFERROR(__xludf.DUMMYFUNCTION("IMPORTRANGE(""https://docs.google.com/spreadsheets/d/1IYY_tgx_IHuhSq3AJ5eI5OnqOPBNLWSHKh2a30DoXe8/edit?usp=sharing"",""นราธิวาส!J572"")"),0)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271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2776791</v>
      </c>
      <c r="M8" s="23">
        <f t="shared" ca="1" si="0"/>
        <v>2187895</v>
      </c>
      <c r="N8" s="23">
        <f t="shared" ca="1" si="0"/>
        <v>2585357.7399999998</v>
      </c>
      <c r="O8" s="22">
        <f t="shared" ref="O8:O16" ca="1" si="1">IF(L8&gt;0,N8*100/L8,0)</f>
        <v>93.105953598956489</v>
      </c>
      <c r="P8" s="22">
        <f t="shared" ref="P8:P16" ca="1" si="2">IF(M8&gt;0,N8*100/M8,0)</f>
        <v>118.16644491623225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2776791</v>
      </c>
      <c r="M10" s="30">
        <f t="shared" ca="1" si="4"/>
        <v>2187895</v>
      </c>
      <c r="N10" s="30">
        <f t="shared" ca="1" si="4"/>
        <v>2585357.7399999998</v>
      </c>
      <c r="O10" s="29">
        <f t="shared" ca="1" si="1"/>
        <v>93.105953598956489</v>
      </c>
      <c r="P10" s="29">
        <f t="shared" ca="1" si="2"/>
        <v>118.16644491623225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2735791</v>
      </c>
      <c r="M12" s="38">
        <f t="shared" ca="1" si="6"/>
        <v>2175395</v>
      </c>
      <c r="N12" s="38">
        <f t="shared" ca="1" si="6"/>
        <v>2544357.7399999998</v>
      </c>
      <c r="O12" s="38">
        <f t="shared" ca="1" si="1"/>
        <v>93.002635800761084</v>
      </c>
      <c r="P12" s="38">
        <f t="shared" ca="1" si="2"/>
        <v>116.96072391450747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1654700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1081091</v>
      </c>
      <c r="M14" s="38">
        <f t="shared" si="8"/>
        <v>0</v>
      </c>
      <c r="N14" s="38">
        <f t="shared" ca="1" si="8"/>
        <v>706850.66999999993</v>
      </c>
      <c r="O14" s="41">
        <f t="shared" ca="1" si="1"/>
        <v>65.383087085175987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41000</v>
      </c>
      <c r="M16" s="38">
        <f t="shared" ca="1" si="10"/>
        <v>12500</v>
      </c>
      <c r="N16" s="38">
        <f t="shared" ca="1" si="10"/>
        <v>41000</v>
      </c>
      <c r="O16" s="50">
        <f t="shared" ca="1" si="1"/>
        <v>100</v>
      </c>
      <c r="P16" s="50">
        <f t="shared" ca="1" si="2"/>
        <v>328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2052965</v>
      </c>
      <c r="M18" s="23">
        <f t="shared" ca="1" si="11"/>
        <v>2187895</v>
      </c>
      <c r="N18" s="23">
        <f t="shared" ca="1" si="11"/>
        <v>1878507.0699999998</v>
      </c>
      <c r="O18" s="22">
        <f t="shared" ref="O18:O20" ca="1" si="12">IF(L18&gt;0,N18*100/L18,0)</f>
        <v>91.502147869057666</v>
      </c>
      <c r="P18" s="22">
        <f t="shared" ref="P18:P26" ca="1" si="13">IF(M18&gt;0,N18*100/M18,0)</f>
        <v>85.859105213001527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2052965</v>
      </c>
      <c r="M20" s="30">
        <f t="shared" ca="1" si="15"/>
        <v>2187895</v>
      </c>
      <c r="N20" s="30">
        <f t="shared" ca="1" si="15"/>
        <v>1878507.0699999998</v>
      </c>
      <c r="O20" s="29">
        <f t="shared" ca="1" si="12"/>
        <v>91.502147869057666</v>
      </c>
      <c r="P20" s="29">
        <f t="shared" ca="1" si="13"/>
        <v>85.859105213001527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2011965</v>
      </c>
      <c r="M22" s="42">
        <f t="shared" ca="1" si="18"/>
        <v>2175395</v>
      </c>
      <c r="N22" s="41">
        <f t="shared" ca="1" si="18"/>
        <v>1837507.0699999998</v>
      </c>
      <c r="O22" s="41">
        <f t="shared" ca="1" si="17"/>
        <v>91.328977889774407</v>
      </c>
      <c r="P22" s="41">
        <f t="shared" ca="1" si="13"/>
        <v>84.467743559215663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1654700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357265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41000</v>
      </c>
      <c r="M26" s="50">
        <f t="shared" ca="1" si="22"/>
        <v>12500</v>
      </c>
      <c r="N26" s="50">
        <f t="shared" ca="1" si="22"/>
        <v>41000</v>
      </c>
      <c r="O26" s="50">
        <f t="shared" ca="1" si="17"/>
        <v>100</v>
      </c>
      <c r="P26" s="50">
        <f t="shared" ca="1" si="13"/>
        <v>328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723826</v>
      </c>
      <c r="M28" s="23">
        <f t="shared" si="23"/>
        <v>0</v>
      </c>
      <c r="N28" s="23">
        <f t="shared" ca="1" si="23"/>
        <v>706850.66999999993</v>
      </c>
      <c r="O28" s="22">
        <f t="shared" ref="O28:O30" ca="1" si="24">IF(L28&gt;0,N28*100/L28,0)</f>
        <v>97.654777529406232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723826</v>
      </c>
      <c r="M30" s="30">
        <f t="shared" si="27"/>
        <v>0</v>
      </c>
      <c r="N30" s="30">
        <f t="shared" ca="1" si="27"/>
        <v>706850.66999999993</v>
      </c>
      <c r="O30" s="29">
        <f t="shared" ca="1" si="24"/>
        <v>97.654777529406232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723826</v>
      </c>
      <c r="M32" s="41">
        <f t="shared" si="30"/>
        <v>0</v>
      </c>
      <c r="N32" s="41">
        <f t="shared" ca="1" si="30"/>
        <v>706850.66999999993</v>
      </c>
      <c r="O32" s="41">
        <f t="shared" ca="1" si="29"/>
        <v>97.654777529406232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723826</v>
      </c>
      <c r="M34" s="41">
        <f t="shared" si="32"/>
        <v>0</v>
      </c>
      <c r="N34" s="41">
        <f t="shared" ca="1" si="32"/>
        <v>706850.66999999993</v>
      </c>
      <c r="O34" s="41">
        <f t="shared" ca="1" si="29"/>
        <v>97.654777529406232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2052965</v>
      </c>
      <c r="M37" s="55">
        <f t="shared" ca="1" si="33"/>
        <v>2187895</v>
      </c>
      <c r="N37" s="55">
        <f t="shared" ca="1" si="33"/>
        <v>1878507.0699999998</v>
      </c>
      <c r="O37" s="56">
        <f t="shared" ca="1" si="29"/>
        <v>91.502147869057666</v>
      </c>
      <c r="P37" s="56">
        <f t="shared" ca="1" si="25"/>
        <v>85.859105213001527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597600</v>
      </c>
      <c r="M41" s="79">
        <f t="shared" ca="1" si="34"/>
        <v>569100</v>
      </c>
      <c r="N41" s="79">
        <f t="shared" ca="1" si="34"/>
        <v>524283.54</v>
      </c>
      <c r="O41" s="78">
        <f t="shared" ref="O41:O43" ca="1" si="35">IF(L41&gt;0,N41*100/L41,0)</f>
        <v>87.731516064257022</v>
      </c>
      <c r="P41" s="78">
        <f t="shared" ref="P41:P43" ca="1" si="36">IF(M41&gt;0,N41*100/M41,0)</f>
        <v>92.125028993147069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597600</v>
      </c>
      <c r="M43" s="79">
        <f t="shared" ca="1" si="38"/>
        <v>569100</v>
      </c>
      <c r="N43" s="79">
        <f t="shared" ca="1" si="38"/>
        <v>524283.54</v>
      </c>
      <c r="O43" s="78">
        <f t="shared" ca="1" si="35"/>
        <v>87.731516064257022</v>
      </c>
      <c r="P43" s="78">
        <f t="shared" ca="1" si="36"/>
        <v>92.125028993147069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569100</v>
      </c>
      <c r="M45" s="91">
        <f ca="1">IFERROR(__xludf.DUMMYFUNCTION("IMPORTRANGE(""https://docs.google.com/spreadsheets/d/1Yj_ptqi66GCucihVvJfMjLAmec39IyEx_6qawtMGysU/edit?usp=sharing"",""สบก!Q86"")"),569100)</f>
        <v>569100</v>
      </c>
      <c r="N45" s="91">
        <f ca="1">IFERROR(__xludf.DUMMYFUNCTION("IMPORTRANGE(""https://docs.google.com/spreadsheets/d/1Yj_ptqi66GCucihVvJfMjLAmec39IyEx_6qawtMGysU/edit?usp=sharing"",""สบก!R86"")"),495783.54)</f>
        <v>495783.54</v>
      </c>
      <c r="O45" s="92">
        <f ca="1">IF(L45&gt;0,N45*100/L45,0)</f>
        <v>87.117121771217711</v>
      </c>
      <c r="P45" s="92">
        <f ca="1">IF(M45&gt;0,N45*100/M45,0)</f>
        <v>87.117121771217711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IFERROR(__xludf.DUMMYFUNCTION("IMPORTRANGE(""https://docs.google.com/spreadsheets/d/1Yj_ptqi66GCucihVvJfMjLAmec39IyEx_6qawtMGysU/edit?usp=sharing"",""สบก!M86"")"),569100)</f>
        <v>569100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IFERROR(__xludf.DUMMYFUNCTION("IMPORTRANGE(""https://docs.google.com/spreadsheets/d/1Yj_ptqi66GCucihVvJfMjLAmec39IyEx_6qawtMGysU/edit?usp=sharing"",""สบก!O86"")"),28500)</f>
        <v>28500</v>
      </c>
      <c r="M49" s="101"/>
      <c r="N49" s="91">
        <f ca="1">IFERROR(__xludf.DUMMYFUNCTION("IMPORTRANGE(""https://docs.google.com/spreadsheets/d/1Yj_ptqi66GCucihVvJfMjLAmec39IyEx_6qawtMGysU/edit?usp=sharing"",""สบก!S86"")"),28500)</f>
        <v>28500</v>
      </c>
      <c r="O49" s="101">
        <f ca="1">IF(L49&gt;0,N49*100/L49,0)</f>
        <v>100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350000</v>
      </c>
      <c r="M53" s="125">
        <f t="shared" ca="1" si="39"/>
        <v>461030</v>
      </c>
      <c r="N53" s="125">
        <f t="shared" ca="1" si="39"/>
        <v>395800.47</v>
      </c>
      <c r="O53" s="124">
        <f t="shared" ref="O53:O55" ca="1" si="40">IF(L53&gt;0,N53*100/L53,0)</f>
        <v>113.08584857142857</v>
      </c>
      <c r="P53" s="124">
        <f t="shared" ref="P53:P55" ca="1" si="41">IF(M53&gt;0,N53*100/M53,0)</f>
        <v>85.851348068455408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350000</v>
      </c>
      <c r="M55" s="125">
        <f t="shared" ca="1" si="43"/>
        <v>461030</v>
      </c>
      <c r="N55" s="125">
        <f t="shared" ca="1" si="43"/>
        <v>395800.47</v>
      </c>
      <c r="O55" s="124">
        <f t="shared" ca="1" si="40"/>
        <v>113.08584857142857</v>
      </c>
      <c r="P55" s="124">
        <f t="shared" ca="1" si="41"/>
        <v>85.851348068455408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350000</v>
      </c>
      <c r="M57" s="91">
        <f ca="1">IFERROR(__xludf.DUMMYFUNCTION("IMPORTRANGE(""https://docs.google.com/spreadsheets/d/1Yj_ptqi66GCucihVvJfMjLAmec39IyEx_6qawtMGysU/edit?usp=sharing"",""สบก!Z86"")"),461030)</f>
        <v>461030</v>
      </c>
      <c r="N57" s="91">
        <f ca="1">IFERROR(__xludf.DUMMYFUNCTION("IMPORTRANGE(""https://docs.google.com/spreadsheets/d/1Yj_ptqi66GCucihVvJfMjLAmec39IyEx_6qawtMGysU/edit?usp=sharing"",""สบก!AA86"")"),395800.47)</f>
        <v>395800.47</v>
      </c>
      <c r="O57" s="92">
        <f ca="1">IF(L57&gt;0,N57*100/L57,0)</f>
        <v>113.08584857142857</v>
      </c>
      <c r="P57" s="92">
        <f ca="1">IF(M57&gt;0,N57*100/M57,0)</f>
        <v>85.851348068455408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IFERROR(__xludf.DUMMYFUNCTION("IMPORTRANGE(""https://docs.google.com/spreadsheets/d/1Yj_ptqi66GCucihVvJfMjLAmec39IyEx_6qawtMGysU/edit?usp=sharing"",""สบก!V86"")"),350000)</f>
        <v>350000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IFERROR(__xludf.DUMMYFUNCTION("IMPORTRANGE(""https://docs.google.com/spreadsheets/d/1Yj_ptqi66GCucihVvJfMjLAmec39IyEx_6qawtMGysU/edit?usp=sharing"",""สบก!AI86"")"),0)</f>
        <v>0</v>
      </c>
      <c r="N70" s="174">
        <f ca="1">IFERROR(__xludf.DUMMYFUNCTION("IMPORTRANGE(""https://docs.google.com/spreadsheets/d/1Yj_ptqi66GCucihVvJfMjLAmec39IyEx_6qawtMGysU/edit?usp=sharing"",""สบก!AJ86"")"),0)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IFERROR(__xludf.DUMMYFUNCTION("IMPORTRANGE(""https://docs.google.com/spreadsheets/d/1Yj_ptqi66GCucihVvJfMjLAmec39IyEx_6qawtMGysU/edit?usp=sharing"",""สบก!AE86"")"),0)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IFERROR(__xludf.DUMMYFUNCTION("IMPORTRANGE(""https://docs.google.com/spreadsheets/d/1Yj_ptqi66GCucihVvJfMjLAmec39IyEx_6qawtMGysU/edit?usp=sharing"",""สบก!AF86"")"),0)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IFERROR(__xludf.DUMMYFUNCTION("IMPORTRANGE(""https://docs.google.com/spreadsheets/d/1IYY_tgx_IHuhSq3AJ5eI5OnqOPBNLWSHKh2a30DoXe8/edit?usp=sharing"",""ปัตตานี!J16"")"),0)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IFERROR(__xludf.DUMMYFUNCTION("IMPORTRANGE(""https://docs.google.com/spreadsheets/d/1IYY_tgx_IHuhSq3AJ5eI5OnqOPBNLWSHKh2a30DoXe8/edit?usp=sharing"",""ปัตตานี!J17"")"),0)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IFERROR(__xludf.DUMMYFUNCTION("IMPORTRANGE(""https://docs.google.com/spreadsheets/d/1IYY_tgx_IHuhSq3AJ5eI5OnqOPBNLWSHKh2a30DoXe8/edit?usp=sharing"",""ปัตตานี!J18"")"),0)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IFERROR(__xludf.DUMMYFUNCTION("IMPORTRANGE(""https://docs.google.com/spreadsheets/d/1IYY_tgx_IHuhSq3AJ5eI5OnqOPBNLWSHKh2a30DoXe8/edit?usp=sharing"",""ปัตตานี!J19"")"),0)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IFERROR(__xludf.DUMMYFUNCTION("IMPORTRANGE(""https://docs.google.com/spreadsheets/d/1IYY_tgx_IHuhSq3AJ5eI5OnqOPBNLWSHKh2a30DoXe8/edit?usp=sharing"",""ปัตตานี!I20"")"),0)</f>
        <v>0</v>
      </c>
      <c r="J80" s="207">
        <f ca="1">IFERROR(__xludf.DUMMYFUNCTION("IMPORTRANGE(""https://docs.google.com/spreadsheets/d/1IYY_tgx_IHuhSq3AJ5eI5OnqOPBNLWSHKh2a30DoXe8/edit?usp=sharing"",""ปัตตานี!J20"")"),0)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IFERROR(__xludf.DUMMYFUNCTION("IMPORTRANGE(""https://docs.google.com/spreadsheets/d/1IYY_tgx_IHuhSq3AJ5eI5OnqOPBNLWSHKh2a30DoXe8/edit?usp=sharing"",""ปัตตานี!I21"")"),0)</f>
        <v>0</v>
      </c>
      <c r="J81" s="207">
        <f ca="1">IFERROR(__xludf.DUMMYFUNCTION("IMPORTRANGE(""https://docs.google.com/spreadsheets/d/1IYY_tgx_IHuhSq3AJ5eI5OnqOPBNLWSHKh2a30DoXe8/edit?usp=sharing"",""ปัตตานี!J21"")"),0)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IFERROR(__xludf.DUMMYFUNCTION("IMPORTRANGE(""https://docs.google.com/spreadsheets/d/1IYY_tgx_IHuhSq3AJ5eI5OnqOPBNLWSHKh2a30DoXe8/edit?usp=sharing"",""ปัตตานี!I22"")"),0)</f>
        <v>0</v>
      </c>
      <c r="J82" s="210">
        <f ca="1">IFERROR(__xludf.DUMMYFUNCTION("IMPORTRANGE(""https://docs.google.com/spreadsheets/d/1IYY_tgx_IHuhSq3AJ5eI5OnqOPBNLWSHKh2a30DoXe8/edit?usp=sharing"",""ปัตตานี!J22"")"),0)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IFERROR(__xludf.DUMMYFUNCTION("IMPORTRANGE(""https://docs.google.com/spreadsheets/d/1IYY_tgx_IHuhSq3AJ5eI5OnqOPBNLWSHKh2a30DoXe8/edit?usp=sharing"",""ปัตตานี!I23"")"),0)</f>
        <v>0</v>
      </c>
      <c r="J83" s="210">
        <f ca="1">IFERROR(__xludf.DUMMYFUNCTION("IMPORTRANGE(""https://docs.google.com/spreadsheets/d/1IYY_tgx_IHuhSq3AJ5eI5OnqOPBNLWSHKh2a30DoXe8/edit?usp=sharing"",""ปัตตานี!J23"")"),0)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IFERROR(__xludf.DUMMYFUNCTION("IMPORTRANGE(""https://docs.google.com/spreadsheets/d/1IYY_tgx_IHuhSq3AJ5eI5OnqOPBNLWSHKh2a30DoXe8/edit?usp=sharing"",""ปัตตานี!I24"")"),0)</f>
        <v>0</v>
      </c>
      <c r="J84" s="195">
        <f ca="1">IFERROR(__xludf.DUMMYFUNCTION("IMPORTRANGE(""https://docs.google.com/spreadsheets/d/1IYY_tgx_IHuhSq3AJ5eI5OnqOPBNLWSHKh2a30DoXe8/edit?usp=sharing"",""ปัตตานี!J24"")"),0)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IFERROR(__xludf.DUMMYFUNCTION("IMPORTRANGE(""https://docs.google.com/spreadsheets/d/1IYY_tgx_IHuhSq3AJ5eI5OnqOPBNLWSHKh2a30DoXe8/edit?usp=sharing"",""ปัตตานี!I25"")"),0)</f>
        <v>0</v>
      </c>
      <c r="J85" s="195">
        <f ca="1">IFERROR(__xludf.DUMMYFUNCTION("IMPORTRANGE(""https://docs.google.com/spreadsheets/d/1IYY_tgx_IHuhSq3AJ5eI5OnqOPBNLWSHKh2a30DoXe8/edit?usp=sharing"",""ปัตตานี!J25"")"),0)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IFERROR(__xludf.DUMMYFUNCTION("IMPORTRANGE(""https://docs.google.com/spreadsheets/d/1IYY_tgx_IHuhSq3AJ5eI5OnqOPBNLWSHKh2a30DoXe8/edit?usp=sharing"",""ปัตตานี!I26"")"),0)</f>
        <v>0</v>
      </c>
      <c r="J86" s="210">
        <f ca="1">IFERROR(__xludf.DUMMYFUNCTION("IMPORTRANGE(""https://docs.google.com/spreadsheets/d/1IYY_tgx_IHuhSq3AJ5eI5OnqOPBNLWSHKh2a30DoXe8/edit?usp=sharing"",""ปัตตานี!J26"")"),0)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IFERROR(__xludf.DUMMYFUNCTION("IMPORTRANGE(""https://docs.google.com/spreadsheets/d/1IYY_tgx_IHuhSq3AJ5eI5OnqOPBNLWSHKh2a30DoXe8/edit?usp=sharing"",""ปัตตานี!I27"")"),0)</f>
        <v>0</v>
      </c>
      <c r="J87" s="210">
        <f ca="1">IFERROR(__xludf.DUMMYFUNCTION("IMPORTRANGE(""https://docs.google.com/spreadsheets/d/1IYY_tgx_IHuhSq3AJ5eI5OnqOPBNLWSHKh2a30DoXe8/edit?usp=sharing"",""ปัตตานี!J27"")"),0)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IFERROR(__xludf.DUMMYFUNCTION("IMPORTRANGE(""https://docs.google.com/spreadsheets/d/1IYY_tgx_IHuhSq3AJ5eI5OnqOPBNLWSHKh2a30DoXe8/edit?usp=sharing"",""ปัตตานี!I28"")"),0)</f>
        <v>0</v>
      </c>
      <c r="J88" s="210">
        <f ca="1">IFERROR(__xludf.DUMMYFUNCTION("IMPORTRANGE(""https://docs.google.com/spreadsheets/d/1IYY_tgx_IHuhSq3AJ5eI5OnqOPBNLWSHKh2a30DoXe8/edit?usp=sharing"",""ปัตตานี!J28"")"),0)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IFERROR(__xludf.DUMMYFUNCTION("IMPORTRANGE(""https://docs.google.com/spreadsheets/d/1IYY_tgx_IHuhSq3AJ5eI5OnqOPBNLWSHKh2a30DoXe8/edit?usp=sharing"",""ปัตตานี!J29"")"),0)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IFERROR(__xludf.DUMMYFUNCTION("IMPORTRANGE(""https://docs.google.com/spreadsheets/d/1IYY_tgx_IHuhSq3AJ5eI5OnqOPBNLWSHKh2a30DoXe8/edit?usp=sharing"",""ปัตตานี!J30"")"),0)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IFERROR(__xludf.DUMMYFUNCTION("IMPORTRANGE(""https://docs.google.com/spreadsheets/d/1Yj_ptqi66GCucihVvJfMjLAmec39IyEx_6qawtMGysU/edit?usp=sharing"",""สบก!AR86"")"),0)</f>
        <v>0</v>
      </c>
      <c r="N98" s="174">
        <f ca="1">IFERROR(__xludf.DUMMYFUNCTION("IMPORTRANGE(""https://docs.google.com/spreadsheets/d/1Yj_ptqi66GCucihVvJfMjLAmec39IyEx_6qawtMGysU/edit?usp=sharing"",""สบก!AS86"")"),0)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IFERROR(__xludf.DUMMYFUNCTION("IMPORTRANGE(""https://docs.google.com/spreadsheets/d/1Yj_ptqi66GCucihVvJfMjLAmec39IyEx_6qawtMGysU/edit?usp=sharing"",""สบก!AN86"")"),0)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IFERROR(__xludf.DUMMYFUNCTION("IMPORTRANGE(""https://docs.google.com/spreadsheets/d/1Yj_ptqi66GCucihVvJfMjLAmec39IyEx_6qawtMGysU/edit?usp=sharing"",""สบก!AO86"")"),0)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IFERROR(__xludf.DUMMYFUNCTION("IMPORTRANGE(""https://docs.google.com/spreadsheets/d/1IYY_tgx_IHuhSq3AJ5eI5OnqOPBNLWSHKh2a30DoXe8/edit?usp=sharing"",""ปัตตานี!J39"")"),0)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IFERROR(__xludf.DUMMYFUNCTION("IMPORTRANGE(""https://docs.google.com/spreadsheets/d/1IYY_tgx_IHuhSq3AJ5eI5OnqOPBNLWSHKh2a30DoXe8/edit?usp=sharing"",""ปัตตานี!J40"")"),0)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IFERROR(__xludf.DUMMYFUNCTION("IMPORTRANGE(""https://docs.google.com/spreadsheets/d/1IYY_tgx_IHuhSq3AJ5eI5OnqOPBNLWSHKh2a30DoXe8/edit?usp=sharing"",""ปัตตานี!J41"")"),0)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IFERROR(__xludf.DUMMYFUNCTION("IMPORTRANGE(""https://docs.google.com/spreadsheets/d/1IYY_tgx_IHuhSq3AJ5eI5OnqOPBNLWSHKh2a30DoXe8/edit?usp=sharing"",""ปัตตานี!J42"")"),0)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IFERROR(__xludf.DUMMYFUNCTION("IMPORTRANGE(""https://docs.google.com/spreadsheets/d/1IYY_tgx_IHuhSq3AJ5eI5OnqOPBNLWSHKh2a30DoXe8/edit?usp=sharing"",""ปัตตานี!I43"")"),0)</f>
        <v>0</v>
      </c>
      <c r="J108" s="210">
        <f ca="1">IFERROR(__xludf.DUMMYFUNCTION("IMPORTRANGE(""https://docs.google.com/spreadsheets/d/1IYY_tgx_IHuhSq3AJ5eI5OnqOPBNLWSHKh2a30DoXe8/edit?usp=sharing"",""ปัตตานี!J43"")"),0)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IFERROR(__xludf.DUMMYFUNCTION("IMPORTRANGE(""https://docs.google.com/spreadsheets/d/1IYY_tgx_IHuhSq3AJ5eI5OnqOPBNLWSHKh2a30DoXe8/edit?usp=sharing"",""ปัตตานี!I44"")"),0)</f>
        <v>0</v>
      </c>
      <c r="J109" s="210">
        <f ca="1">IFERROR(__xludf.DUMMYFUNCTION("IMPORTRANGE(""https://docs.google.com/spreadsheets/d/1IYY_tgx_IHuhSq3AJ5eI5OnqOPBNLWSHKh2a30DoXe8/edit?usp=sharing"",""ปัตตานี!J44"")"),0)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IFERROR(__xludf.DUMMYFUNCTION("IMPORTRANGE(""https://docs.google.com/spreadsheets/d/1IYY_tgx_IHuhSq3AJ5eI5OnqOPBNLWSHKh2a30DoXe8/edit?usp=sharing"",""ปัตตานี!I45"")"),0)</f>
        <v>0</v>
      </c>
      <c r="J110" s="210">
        <f ca="1">IFERROR(__xludf.DUMMYFUNCTION("IMPORTRANGE(""https://docs.google.com/spreadsheets/d/1IYY_tgx_IHuhSq3AJ5eI5OnqOPBNLWSHKh2a30DoXe8/edit?usp=sharing"",""ปัตตานี!J45"")"),0)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IFERROR(__xludf.DUMMYFUNCTION("IMPORTRANGE(""https://docs.google.com/spreadsheets/d/1IYY_tgx_IHuhSq3AJ5eI5OnqOPBNLWSHKh2a30DoXe8/edit?usp=sharing"",""ปัตตานี!I46"")"),0)</f>
        <v>0</v>
      </c>
      <c r="J111" s="210">
        <f ca="1">IFERROR(__xludf.DUMMYFUNCTION("IMPORTRANGE(""https://docs.google.com/spreadsheets/d/1IYY_tgx_IHuhSq3AJ5eI5OnqOPBNLWSHKh2a30DoXe8/edit?usp=sharing"",""ปัตตานี!J46"")"),0)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IFERROR(__xludf.DUMMYFUNCTION("IMPORTRANGE(""https://docs.google.com/spreadsheets/d/1IYY_tgx_IHuhSq3AJ5eI5OnqOPBNLWSHKh2a30DoXe8/edit?usp=sharing"",""ปัตตานี!I47"")"),0)</f>
        <v>0</v>
      </c>
      <c r="J112" s="210">
        <f ca="1">IFERROR(__xludf.DUMMYFUNCTION("IMPORTRANGE(""https://docs.google.com/spreadsheets/d/1IYY_tgx_IHuhSq3AJ5eI5OnqOPBNLWSHKh2a30DoXe8/edit?usp=sharing"",""ปัตตานี!J47"")"),0)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IFERROR(__xludf.DUMMYFUNCTION("IMPORTRANGE(""https://docs.google.com/spreadsheets/d/1IYY_tgx_IHuhSq3AJ5eI5OnqOPBNLWSHKh2a30DoXe8/edit?usp=sharing"",""ปัตตานี!I48"")"),0)</f>
        <v>0</v>
      </c>
      <c r="J113" s="210">
        <f ca="1">IFERROR(__xludf.DUMMYFUNCTION("IMPORTRANGE(""https://docs.google.com/spreadsheets/d/1IYY_tgx_IHuhSq3AJ5eI5OnqOPBNLWSHKh2a30DoXe8/edit?usp=sharing"",""ปัตตานี!J48"")"),0)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IFERROR(__xludf.DUMMYFUNCTION("IMPORTRANGE(""https://docs.google.com/spreadsheets/d/1IYY_tgx_IHuhSq3AJ5eI5OnqOPBNLWSHKh2a30DoXe8/edit?usp=sharing"",""ปัตตานี!J49"")"),0)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IFERROR(__xludf.DUMMYFUNCTION("IMPORTRANGE(""https://docs.google.com/spreadsheets/d/1IYY_tgx_IHuhSq3AJ5eI5OnqOPBNLWSHKh2a30DoXe8/edit?usp=sharing"",""ปัตตานี!J50"")"),0)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IFERROR(__xludf.DUMMYFUNCTION("IMPORTRANGE(""https://docs.google.com/spreadsheets/d/1Yj_ptqi66GCucihVvJfMjLAmec39IyEx_6qawtMGysU/edit?usp=sharing"",""สบก!BA86"")"),0)</f>
        <v>0</v>
      </c>
      <c r="N122" s="174">
        <f ca="1">IFERROR(__xludf.DUMMYFUNCTION("IMPORTRANGE(""https://docs.google.com/spreadsheets/d/1Yj_ptqi66GCucihVvJfMjLAmec39IyEx_6qawtMGysU/edit?usp=sharing"",""สบก!BB86"")"),0)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IFERROR(__xludf.DUMMYFUNCTION("IMPORTRANGE(""https://docs.google.com/spreadsheets/d/1Yj_ptqi66GCucihVvJfMjLAmec39IyEx_6qawtMGysU/edit?usp=sharing"",""สบก!AW86"")"),0)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IFERROR(__xludf.DUMMYFUNCTION("IMPORTRANGE(""https://docs.google.com/spreadsheets/d/1Yj_ptqi66GCucihVvJfMjLAmec39IyEx_6qawtMGysU/edit?usp=sharing"",""สบก!AX86"")"),0)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272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IFERROR(__xludf.DUMMYFUNCTION("IMPORTRANGE(""https://docs.google.com/spreadsheets/d/1IYY_tgx_IHuhSq3AJ5eI5OnqOPBNLWSHKh2a30DoXe8/edit?usp=sharing"",""ปัตตานี!J58"")"),0)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IFERROR(__xludf.DUMMYFUNCTION("IMPORTRANGE(""https://docs.google.com/spreadsheets/d/1IYY_tgx_IHuhSq3AJ5eI5OnqOPBNLWSHKh2a30DoXe8/edit?usp=sharing"",""ปัตตานี!J59"")"),0)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IFERROR(__xludf.DUMMYFUNCTION("IMPORTRANGE(""https://docs.google.com/spreadsheets/d/1IYY_tgx_IHuhSq3AJ5eI5OnqOPBNLWSHKh2a30DoXe8/edit?usp=sharing"",""ปัตตานี!J60"")"),0)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IFERROR(__xludf.DUMMYFUNCTION("IMPORTRANGE(""https://docs.google.com/spreadsheets/d/1IYY_tgx_IHuhSq3AJ5eI5OnqOPBNLWSHKh2a30DoXe8/edit?usp=sharing"",""ปัตตานี!J61"")"),0)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IFERROR(__xludf.DUMMYFUNCTION("IMPORTRANGE(""https://docs.google.com/spreadsheets/d/1IYY_tgx_IHuhSq3AJ5eI5OnqOPBNLWSHKh2a30DoXe8/edit?usp=sharing"",""ปัตตานี!I62"")"),0)</f>
        <v>0</v>
      </c>
      <c r="J132" s="210">
        <f ca="1">IFERROR(__xludf.DUMMYFUNCTION("IMPORTRANGE(""https://docs.google.com/spreadsheets/d/1IYY_tgx_IHuhSq3AJ5eI5OnqOPBNLWSHKh2a30DoXe8/edit?usp=sharing"",""ปัตตานี!J62"")"),0)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IFERROR(__xludf.DUMMYFUNCTION("IMPORTRANGE(""https://docs.google.com/spreadsheets/d/1IYY_tgx_IHuhSq3AJ5eI5OnqOPBNLWSHKh2a30DoXe8/edit?usp=sharing"",""ปัตตานี!I63"")"),0)</f>
        <v>0</v>
      </c>
      <c r="J133" s="210">
        <f ca="1">IFERROR(__xludf.DUMMYFUNCTION("IMPORTRANGE(""https://docs.google.com/spreadsheets/d/1IYY_tgx_IHuhSq3AJ5eI5OnqOPBNLWSHKh2a30DoXe8/edit?usp=sharing"",""ปัตตานี!J63"")"),0)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IFERROR(__xludf.DUMMYFUNCTION("IMPORTRANGE(""https://docs.google.com/spreadsheets/d/1IYY_tgx_IHuhSq3AJ5eI5OnqOPBNLWSHKh2a30DoXe8/edit?usp=sharing"",""ปัตตานี!J64"")"),0)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IFERROR(__xludf.DUMMYFUNCTION("IMPORTRANGE(""https://docs.google.com/spreadsheets/d/1IYY_tgx_IHuhSq3AJ5eI5OnqOPBNLWSHKh2a30DoXe8/edit?usp=sharing"",""ปัตตานี!J65"")"),0)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IFERROR(__xludf.DUMMYFUNCTION("IMPORTRANGE(""https://docs.google.com/spreadsheets/d/1IYY_tgx_IHuhSq3AJ5eI5OnqOPBNLWSHKh2a30DoXe8/edit?usp=sharing"",""ปัตตานี!I68"")"),15)</f>
        <v>15</v>
      </c>
      <c r="J138" s="273">
        <f ca="1">IFERROR(__xludf.DUMMYFUNCTION("IMPORTRANGE(""https://docs.google.com/spreadsheets/d/1IYY_tgx_IHuhSq3AJ5eI5OnqOPBNLWSHKh2a30DoXe8/edit?usp=sharing"",""ปัตตานี!J68"")"),15)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376600</v>
      </c>
      <c r="M140" s="156">
        <f t="shared" ca="1" si="64"/>
        <v>376600</v>
      </c>
      <c r="N140" s="156">
        <f t="shared" ca="1" si="64"/>
        <v>322020.40999999997</v>
      </c>
      <c r="O140" s="155">
        <f t="shared" ref="O140:O142" ca="1" si="65">IF(L140&gt;0,N140*100/L140,0)</f>
        <v>85.507278279341463</v>
      </c>
      <c r="P140" s="155">
        <f t="shared" ref="P140:P142" ca="1" si="66">IF(M140&gt;0,N140*100/M140,0)</f>
        <v>85.507278279341463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376600</v>
      </c>
      <c r="M142" s="161">
        <f t="shared" ca="1" si="68"/>
        <v>376600</v>
      </c>
      <c r="N142" s="161">
        <f t="shared" ca="1" si="68"/>
        <v>322020.40999999997</v>
      </c>
      <c r="O142" s="160">
        <f t="shared" ca="1" si="65"/>
        <v>85.507278279341463</v>
      </c>
      <c r="P142" s="160">
        <f t="shared" ca="1" si="66"/>
        <v>85.507278279341463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376600</v>
      </c>
      <c r="M144" s="173">
        <f ca="1">IFERROR(__xludf.DUMMYFUNCTION("IMPORTRANGE(""https://docs.google.com/spreadsheets/d/1Yj_ptqi66GCucihVvJfMjLAmec39IyEx_6qawtMGysU/edit?usp=sharing"",""สบก!BJ86"")"),376600)</f>
        <v>376600</v>
      </c>
      <c r="N144" s="174">
        <f ca="1">IFERROR(__xludf.DUMMYFUNCTION("IMPORTRANGE(""https://docs.google.com/spreadsheets/d/1Yj_ptqi66GCucihVvJfMjLAmec39IyEx_6qawtMGysU/edit?usp=sharing"",""สบก!BK86"")"),322020.41)</f>
        <v>322020.40999999997</v>
      </c>
      <c r="O144" s="175">
        <f ca="1">IF(L144&gt;0,N144*100/L144,0)</f>
        <v>85.507278279341463</v>
      </c>
      <c r="P144" s="175">
        <f ca="1">IF(M144&gt;0,N144*100/M144,0)</f>
        <v>85.507278279341463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IFERROR(__xludf.DUMMYFUNCTION("IMPORTRANGE(""https://docs.google.com/spreadsheets/d/1Yj_ptqi66GCucihVvJfMjLAmec39IyEx_6qawtMGysU/edit?usp=sharing"",""สบก!BF86"")"),318000)</f>
        <v>318000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IFERROR(__xludf.DUMMYFUNCTION("IMPORTRANGE(""https://docs.google.com/spreadsheets/d/1Yj_ptqi66GCucihVvJfMjLAmec39IyEx_6qawtMGysU/edit?usp=sharing"",""สบก!BG86"")"),58600)</f>
        <v>58600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IFERROR(__xludf.DUMMYFUNCTION("IMPORTRANGE(""https://docs.google.com/spreadsheets/d/1IYY_tgx_IHuhSq3AJ5eI5OnqOPBNLWSHKh2a30DoXe8/edit?usp=sharing"",""ปัตตานี!I74"")"),4)</f>
        <v>4</v>
      </c>
      <c r="J149" s="281">
        <f ca="1">IFERROR(__xludf.DUMMYFUNCTION("IMPORTRANGE(""https://docs.google.com/spreadsheets/d/1IYY_tgx_IHuhSq3AJ5eI5OnqOPBNLWSHKh2a30DoXe8/edit?usp=sharing"",""ปัตตานี!J74"")"),4)</f>
        <v>4</v>
      </c>
      <c r="K149" s="282">
        <f ca="1">IF(I149&gt;0,J149*100/I149,0)</f>
        <v>100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IFERROR(__xludf.DUMMYFUNCTION("IMPORTRANGE(""https://docs.google.com/spreadsheets/d/1IYY_tgx_IHuhSq3AJ5eI5OnqOPBNLWSHKh2a30DoXe8/edit?usp=sharing"",""ปัตตานี!J79"")"),0)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IFERROR(__xludf.DUMMYFUNCTION("IMPORTRANGE(""https://docs.google.com/spreadsheets/d/1IYY_tgx_IHuhSq3AJ5eI5OnqOPBNLWSHKh2a30DoXe8/edit?usp=sharing"",""ปัตตานี!J80"")"),1)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IFERROR(__xludf.DUMMYFUNCTION("IMPORTRANGE(""https://docs.google.com/spreadsheets/d/1IYY_tgx_IHuhSq3AJ5eI5OnqOPBNLWSHKh2a30DoXe8/edit?usp=sharing"",""ปัตตานี!J81"")"),1)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IFERROR(__xludf.DUMMYFUNCTION("IMPORTRANGE(""https://docs.google.com/spreadsheets/d/1IYY_tgx_IHuhSq3AJ5eI5OnqOPBNLWSHKh2a30DoXe8/edit?usp=sharing"",""ปัตตานี!J82"")"),1)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IFERROR(__xludf.DUMMYFUNCTION("IMPORTRANGE(""https://docs.google.com/spreadsheets/d/1IYY_tgx_IHuhSq3AJ5eI5OnqOPBNLWSHKh2a30DoXe8/edit?usp=sharing"",""ปัตตานี!I83"")"),4)</f>
        <v>4</v>
      </c>
      <c r="J158" s="195">
        <f ca="1">IFERROR(__xludf.DUMMYFUNCTION("IMPORTRANGE(""https://docs.google.com/spreadsheets/d/1IYY_tgx_IHuhSq3AJ5eI5OnqOPBNLWSHKh2a30DoXe8/edit?usp=sharing"",""ปัตตานี!J83"")"),4)</f>
        <v>4</v>
      </c>
      <c r="K158" s="167">
        <f ca="1">IF(I158&gt;0,J158*100/I158,0)</f>
        <v>100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IFERROR(__xludf.DUMMYFUNCTION("IMPORTRANGE(""https://docs.google.com/spreadsheets/d/1IYY_tgx_IHuhSq3AJ5eI5OnqOPBNLWSHKh2a30DoXe8/edit?usp=sharing"",""ปัตตานี!J84"")"),228)</f>
        <v>228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IFERROR(__xludf.DUMMYFUNCTION("IMPORTRANGE(""https://docs.google.com/spreadsheets/d/1IYY_tgx_IHuhSq3AJ5eI5OnqOPBNLWSHKh2a30DoXe8/edit?usp=sharing"",""ปัตตานี!J85"")"),228)</f>
        <v>228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IFERROR(__xludf.DUMMYFUNCTION("IMPORTRANGE(""https://docs.google.com/spreadsheets/d/1IYY_tgx_IHuhSq3AJ5eI5OnqOPBNLWSHKh2a30DoXe8/edit?usp=sharing"",""ปัตตานี!J87"")"),0)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IFERROR(__xludf.DUMMYFUNCTION("IMPORTRANGE(""https://docs.google.com/spreadsheets/d/1IYY_tgx_IHuhSq3AJ5eI5OnqOPBNLWSHKh2a30DoXe8/edit?usp=sharing"",""ปัตตานี!J88"")"),0)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IFERROR(__xludf.DUMMYFUNCTION("IMPORTRANGE(""https://docs.google.com/spreadsheets/d/1IYY_tgx_IHuhSq3AJ5eI5OnqOPBNLWSHKh2a30DoXe8/edit?usp=sharing"",""ปัตตานี!J94"")"),0)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IFERROR(__xludf.DUMMYFUNCTION("IMPORTRANGE(""https://docs.google.com/spreadsheets/d/1IYY_tgx_IHuhSq3AJ5eI5OnqOPBNLWSHKh2a30DoXe8/edit?usp=sharing"",""ปัตตานี!J95"")"),1)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IFERROR(__xludf.DUMMYFUNCTION("IMPORTRANGE(""https://docs.google.com/spreadsheets/d/1IYY_tgx_IHuhSq3AJ5eI5OnqOPBNLWSHKh2a30DoXe8/edit?usp=sharing"",""ปัตตานี!J96"")"),1)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IFERROR(__xludf.DUMMYFUNCTION("IMPORTRANGE(""https://docs.google.com/spreadsheets/d/1IYY_tgx_IHuhSq3AJ5eI5OnqOPBNLWSHKh2a30DoXe8/edit?usp=sharing"",""ปัตตานี!J97"")"),1)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IFERROR(__xludf.DUMMYFUNCTION("IMPORTRANGE(""https://docs.google.com/spreadsheets/d/1IYY_tgx_IHuhSq3AJ5eI5OnqOPBNLWSHKh2a30DoXe8/edit?usp=sharing"",""ปัตตานี!I98"")"),2)</f>
        <v>2</v>
      </c>
      <c r="J173" s="195">
        <f ca="1">IFERROR(__xludf.DUMMYFUNCTION("IMPORTRANGE(""https://docs.google.com/spreadsheets/d/1IYY_tgx_IHuhSq3AJ5eI5OnqOPBNLWSHKh2a30DoXe8/edit?usp=sharing"",""ปัตตานี!J98"")"),2)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IFERROR(__xludf.DUMMYFUNCTION("IMPORTRANGE(""https://docs.google.com/spreadsheets/d/1IYY_tgx_IHuhSq3AJ5eI5OnqOPBNLWSHKh2a30DoXe8/edit?usp=sharing"",""ปัตตานี!J99"")"),0)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IFERROR(__xludf.DUMMYFUNCTION("IMPORTRANGE(""https://docs.google.com/spreadsheets/d/1IYY_tgx_IHuhSq3AJ5eI5OnqOPBNLWSHKh2a30DoXe8/edit?usp=sharing"",""ปัตตานี!J100"")"),0)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IFERROR(__xludf.DUMMYFUNCTION("IMPORTRANGE(""https://docs.google.com/spreadsheets/d/1IYY_tgx_IHuhSq3AJ5eI5OnqOPBNLWSHKh2a30DoXe8/edit?usp=sharing"",""ปัตตานี!J106"")"),0)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IFERROR(__xludf.DUMMYFUNCTION("IMPORTRANGE(""https://docs.google.com/spreadsheets/d/1IYY_tgx_IHuhSq3AJ5eI5OnqOPBNLWSHKh2a30DoXe8/edit?usp=sharing"",""ปัตตานี!J107"")"),0)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IFERROR(__xludf.DUMMYFUNCTION("IMPORTRANGE(""https://docs.google.com/spreadsheets/d/1IYY_tgx_IHuhSq3AJ5eI5OnqOPBNLWSHKh2a30DoXe8/edit?usp=sharing"",""ปัตตานี!J108"")"),0)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IFERROR(__xludf.DUMMYFUNCTION("IMPORTRANGE(""https://docs.google.com/spreadsheets/d/1IYY_tgx_IHuhSq3AJ5eI5OnqOPBNLWSHKh2a30DoXe8/edit?usp=sharing"",""ปัตตานี!J109"")"),0)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IFERROR(__xludf.DUMMYFUNCTION("IMPORTRANGE(""https://docs.google.com/spreadsheets/d/1IYY_tgx_IHuhSq3AJ5eI5OnqOPBNLWSHKh2a30DoXe8/edit?usp=sharing"",""ปัตตานี!I110"")"),0)</f>
        <v>0</v>
      </c>
      <c r="J185" s="210">
        <f ca="1">IFERROR(__xludf.DUMMYFUNCTION("IMPORTRANGE(""https://docs.google.com/spreadsheets/d/1IYY_tgx_IHuhSq3AJ5eI5OnqOPBNLWSHKh2a30DoXe8/edit?usp=sharing"",""ปัตตานี!J110"")"),0)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IFERROR(__xludf.DUMMYFUNCTION("IMPORTRANGE(""https://docs.google.com/spreadsheets/d/1IYY_tgx_IHuhSq3AJ5eI5OnqOPBNLWSHKh2a30DoXe8/edit?usp=sharing"",""ปัตตานี!I111"")"),0)</f>
        <v>0</v>
      </c>
      <c r="J186" s="210">
        <f ca="1">IFERROR(__xludf.DUMMYFUNCTION("IMPORTRANGE(""https://docs.google.com/spreadsheets/d/1IYY_tgx_IHuhSq3AJ5eI5OnqOPBNLWSHKh2a30DoXe8/edit?usp=sharing"",""ปัตตานี!J111"")"),0)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IFERROR(__xludf.DUMMYFUNCTION("IMPORTRANGE(""https://docs.google.com/spreadsheets/d/1IYY_tgx_IHuhSq3AJ5eI5OnqOPBNLWSHKh2a30DoXe8/edit?usp=sharing"",""ปัตตานี!J112"")"),0)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IFERROR(__xludf.DUMMYFUNCTION("IMPORTRANGE(""https://docs.google.com/spreadsheets/d/1IYY_tgx_IHuhSq3AJ5eI5OnqOPBNLWSHKh2a30DoXe8/edit?usp=sharing"",""ปัตตานี!J113"")"),0)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IFERROR(__xludf.DUMMYFUNCTION("IMPORTRANGE(""https://docs.google.com/spreadsheets/d/1IYY_tgx_IHuhSq3AJ5eI5OnqOPBNLWSHKh2a30DoXe8/edit?usp=sharing"",""ปัตตานี!J114"")"),12800)</f>
        <v>12800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IFERROR(__xludf.DUMMYFUNCTION("IMPORTRANGE(""https://docs.google.com/spreadsheets/d/1IYY_tgx_IHuhSq3AJ5eI5OnqOPBNLWSHKh2a30DoXe8/edit?usp=sharing"",""ปัตตานี!J119"")"),0)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IFERROR(__xludf.DUMMYFUNCTION("IMPORTRANGE(""https://docs.google.com/spreadsheets/d/1IYY_tgx_IHuhSq3AJ5eI5OnqOPBNLWSHKh2a30DoXe8/edit?usp=sharing"",""ปัตตานี!J120"")"),1)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IFERROR(__xludf.DUMMYFUNCTION("IMPORTRANGE(""https://docs.google.com/spreadsheets/d/1IYY_tgx_IHuhSq3AJ5eI5OnqOPBNLWSHKh2a30DoXe8/edit?usp=sharing"",""ปัตตานี!J121"")"),1)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IFERROR(__xludf.DUMMYFUNCTION("IMPORTRANGE(""https://docs.google.com/spreadsheets/d/1IYY_tgx_IHuhSq3AJ5eI5OnqOPBNLWSHKh2a30DoXe8/edit?usp=sharing"",""ปัตตานี!J122"")"),1)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IFERROR(__xludf.DUMMYFUNCTION("IMPORTRANGE(""https://docs.google.com/spreadsheets/d/1IYY_tgx_IHuhSq3AJ5eI5OnqOPBNLWSHKh2a30DoXe8/edit?usp=sharing"",""ปัตตานี!I124"")"),12800)</f>
        <v>12800</v>
      </c>
      <c r="J199" s="195">
        <f ca="1">IFERROR(__xludf.DUMMYFUNCTION("IMPORTRANGE(""https://docs.google.com/spreadsheets/d/1IYY_tgx_IHuhSq3AJ5eI5OnqOPBNLWSHKh2a30DoXe8/edit?usp=sharing"",""ปัตตานี!J124"")"),12800)</f>
        <v>12800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IFERROR(__xludf.DUMMYFUNCTION("IMPORTRANGE(""https://docs.google.com/spreadsheets/d/1IYY_tgx_IHuhSq3AJ5eI5OnqOPBNLWSHKh2a30DoXe8/edit?usp=sharing"",""ปัตตานี!I125"")"),12800)</f>
        <v>12800</v>
      </c>
      <c r="J200" s="195">
        <f ca="1">IFERROR(__xludf.DUMMYFUNCTION("IMPORTRANGE(""https://docs.google.com/spreadsheets/d/1IYY_tgx_IHuhSq3AJ5eI5OnqOPBNLWSHKh2a30DoXe8/edit?usp=sharing"",""ปัตตานี!J125"")"),12800)</f>
        <v>12800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IFERROR(__xludf.DUMMYFUNCTION("IMPORTRANGE(""https://docs.google.com/spreadsheets/d/1IYY_tgx_IHuhSq3AJ5eI5OnqOPBNLWSHKh2a30DoXe8/edit?usp=sharing"",""ปัตตานี!I126"")"),15)</f>
        <v>15</v>
      </c>
      <c r="J201" s="195">
        <f ca="1">IFERROR(__xludf.DUMMYFUNCTION("IMPORTRANGE(""https://docs.google.com/spreadsheets/d/1IYY_tgx_IHuhSq3AJ5eI5OnqOPBNLWSHKh2a30DoXe8/edit?usp=sharing"",""ปัตตานี!J126"")"),15)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IFERROR(__xludf.DUMMYFUNCTION("IMPORTRANGE(""https://docs.google.com/spreadsheets/d/1IYY_tgx_IHuhSq3AJ5eI5OnqOPBNLWSHKh2a30DoXe8/edit?usp=sharing"",""ปัตตานี!J127"")"),0)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IFERROR(__xludf.DUMMYFUNCTION("IMPORTRANGE(""https://docs.google.com/spreadsheets/d/1IYY_tgx_IHuhSq3AJ5eI5OnqOPBNLWSHKh2a30DoXe8/edit?usp=sharing"",""ปัตตานี!J128"")"),0)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IFERROR(__xludf.DUMMYFUNCTION("IMPORTRANGE(""https://docs.google.com/spreadsheets/d/1IYY_tgx_IHuhSq3AJ5eI5OnqOPBNLWSHKh2a30DoXe8/edit?usp=sharing"",""ปัตตานี!J134"")"),0)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IFERROR(__xludf.DUMMYFUNCTION("IMPORTRANGE(""https://docs.google.com/spreadsheets/d/1IYY_tgx_IHuhSq3AJ5eI5OnqOPBNLWSHKh2a30DoXe8/edit?usp=sharing"",""ปัตตานี!J135"")"),0)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IFERROR(__xludf.DUMMYFUNCTION("IMPORTRANGE(""https://docs.google.com/spreadsheets/d/1IYY_tgx_IHuhSq3AJ5eI5OnqOPBNLWSHKh2a30DoXe8/edit?usp=sharing"",""ปัตตานี!J136"")"),0)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IFERROR(__xludf.DUMMYFUNCTION("IMPORTRANGE(""https://docs.google.com/spreadsheets/d/1IYY_tgx_IHuhSq3AJ5eI5OnqOPBNLWSHKh2a30DoXe8/edit?usp=sharing"",""ปัตตานี!J137"")"),0)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IFERROR(__xludf.DUMMYFUNCTION("IMPORTRANGE(""https://docs.google.com/spreadsheets/d/1IYY_tgx_IHuhSq3AJ5eI5OnqOPBNLWSHKh2a30DoXe8/edit?usp=sharing"",""ปัตตานี!I138"")"),0)</f>
        <v>0</v>
      </c>
      <c r="J213" s="210">
        <f ca="1">IFERROR(__xludf.DUMMYFUNCTION("IMPORTRANGE(""https://docs.google.com/spreadsheets/d/1IYY_tgx_IHuhSq3AJ5eI5OnqOPBNLWSHKh2a30DoXe8/edit?usp=sharing"",""ปัตตานี!J138"")"),0)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IFERROR(__xludf.DUMMYFUNCTION("IMPORTRANGE(""https://docs.google.com/spreadsheets/d/1IYY_tgx_IHuhSq3AJ5eI5OnqOPBNLWSHKh2a30DoXe8/edit?usp=sharing"",""ปัตตานี!I140"")"),0)</f>
        <v>0</v>
      </c>
      <c r="J215" s="210">
        <f ca="1">IFERROR(__xludf.DUMMYFUNCTION("IMPORTRANGE(""https://docs.google.com/spreadsheets/d/1IYY_tgx_IHuhSq3AJ5eI5OnqOPBNLWSHKh2a30DoXe8/edit?usp=sharing"",""ปัตตานี!J140"")"),0)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IFERROR(__xludf.DUMMYFUNCTION("IMPORTRANGE(""https://docs.google.com/spreadsheets/d/1IYY_tgx_IHuhSq3AJ5eI5OnqOPBNLWSHKh2a30DoXe8/edit?usp=sharing"",""ปัตตานี!I141"")"),0)</f>
        <v>0</v>
      </c>
      <c r="J216" s="210">
        <f ca="1">IFERROR(__xludf.DUMMYFUNCTION("IMPORTRANGE(""https://docs.google.com/spreadsheets/d/1IYY_tgx_IHuhSq3AJ5eI5OnqOPBNLWSHKh2a30DoXe8/edit?usp=sharing"",""ปัตตานี!J141"")"),0)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IFERROR(__xludf.DUMMYFUNCTION("IMPORTRANGE(""https://docs.google.com/spreadsheets/d/1IYY_tgx_IHuhSq3AJ5eI5OnqOPBNLWSHKh2a30DoXe8/edit?usp=sharing"",""ปัตตานี!J142"")"),0)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IFERROR(__xludf.DUMMYFUNCTION("IMPORTRANGE(""https://docs.google.com/spreadsheets/d/1IYY_tgx_IHuhSq3AJ5eI5OnqOPBNLWSHKh2a30DoXe8/edit?usp=sharing"",""ปัตตานี!J143"")"),0)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IFERROR(__xludf.DUMMYFUNCTION("IMPORTRANGE(""https://docs.google.com/spreadsheets/d/1IYY_tgx_IHuhSq3AJ5eI5OnqOPBNLWSHKh2a30DoXe8/edit?usp=sharing"",""ปัตตานี!I144"")"),15)</f>
        <v>15</v>
      </c>
      <c r="J219" s="273">
        <f ca="1">IFERROR(__xludf.DUMMYFUNCTION("IMPORTRANGE(""https://docs.google.com/spreadsheets/d/1IYY_tgx_IHuhSq3AJ5eI5OnqOPBNLWSHKh2a30DoXe8/edit?usp=sharing"",""ปัตตานี!J144"")"),15)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34525</v>
      </c>
      <c r="N220" s="156">
        <f t="shared" ca="1" si="72"/>
        <v>33885</v>
      </c>
      <c r="O220" s="155">
        <f t="shared" ref="O220:O222" ca="1" si="73">IF(L220&gt;0,N220*100/L220,0)</f>
        <v>160.40236686390531</v>
      </c>
      <c r="P220" s="155">
        <f t="shared" ref="P220:P222" ca="1" si="74">IF(M220&gt;0,N220*100/M220,0)</f>
        <v>98.146270818247643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34525</v>
      </c>
      <c r="N222" s="161">
        <f t="shared" ca="1" si="76"/>
        <v>33885</v>
      </c>
      <c r="O222" s="160">
        <f t="shared" ca="1" si="73"/>
        <v>160.40236686390531</v>
      </c>
      <c r="P222" s="160">
        <f t="shared" ca="1" si="74"/>
        <v>98.146270818247643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IFERROR(__xludf.DUMMYFUNCTION("IMPORTRANGE(""https://docs.google.com/spreadsheets/d/1Yj_ptqi66GCucihVvJfMjLAmec39IyEx_6qawtMGysU/edit?usp=sharing"",""สบก!BS86"")"),34525)</f>
        <v>34525</v>
      </c>
      <c r="N224" s="174">
        <f ca="1">IFERROR(__xludf.DUMMYFUNCTION("IMPORTRANGE(""https://docs.google.com/spreadsheets/d/1Yj_ptqi66GCucihVvJfMjLAmec39IyEx_6qawtMGysU/edit?usp=sharing"",""สบก!BT86"")"),33885)</f>
        <v>33885</v>
      </c>
      <c r="O224" s="175">
        <f ca="1">IF(L224&gt;0,N224*100/L224,0)</f>
        <v>160.40236686390531</v>
      </c>
      <c r="P224" s="175">
        <f ca="1">IF(M224&gt;0,N224*100/M224,0)</f>
        <v>98.146270818247643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IFERROR(__xludf.DUMMYFUNCTION("IMPORTRANGE(""https://docs.google.com/spreadsheets/d/1Yj_ptqi66GCucihVvJfMjLAmec39IyEx_6qawtMGysU/edit?usp=sharing"",""สบก!BO86"")"),0)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IFERROR(__xludf.DUMMYFUNCTION("IMPORTRANGE(""https://docs.google.com/spreadsheets/d/1Yj_ptqi66GCucihVvJfMjLAmec39IyEx_6qawtMGysU/edit?usp=sharing"",""สบก!BP86"")"),21125)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IFERROR(__xludf.DUMMYFUNCTION("IMPORTRANGE(""https://docs.google.com/spreadsheets/d/1IYY_tgx_IHuhSq3AJ5eI5OnqOPBNLWSHKh2a30DoXe8/edit?usp=sharing"",""ปัตตานี!I149"")"),15)</f>
        <v>15</v>
      </c>
      <c r="J229" s="273">
        <f ca="1">IFERROR(__xludf.DUMMYFUNCTION("IMPORTRANGE(""https://docs.google.com/spreadsheets/d/1IYY_tgx_IHuhSq3AJ5eI5OnqOPBNLWSHKh2a30DoXe8/edit?usp=sharing"",""ปัตตานี!J149"")"),15)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IFERROR(__xludf.DUMMYFUNCTION("IMPORTRANGE(""https://docs.google.com/spreadsheets/d/1IYY_tgx_IHuhSq3AJ5eI5OnqOPBNLWSHKh2a30DoXe8/edit?usp=sharing"",""ปัตตานี!J151"")"),0)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IFERROR(__xludf.DUMMYFUNCTION("IMPORTRANGE(""https://docs.google.com/spreadsheets/d/1IYY_tgx_IHuhSq3AJ5eI5OnqOPBNLWSHKh2a30DoXe8/edit?usp=sharing"",""ปัตตานี!J152"")"),1)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IFERROR(__xludf.DUMMYFUNCTION("IMPORTRANGE(""https://docs.google.com/spreadsheets/d/1IYY_tgx_IHuhSq3AJ5eI5OnqOPBNLWSHKh2a30DoXe8/edit?usp=sharing"",""ปัตตานี!J153"")"),1)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IFERROR(__xludf.DUMMYFUNCTION("IMPORTRANGE(""https://docs.google.com/spreadsheets/d/1IYY_tgx_IHuhSq3AJ5eI5OnqOPBNLWSHKh2a30DoXe8/edit?usp=sharing"",""ปัตตานี!J154"")"),1)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IFERROR(__xludf.DUMMYFUNCTION("IMPORTRANGE(""https://docs.google.com/spreadsheets/d/1IYY_tgx_IHuhSq3AJ5eI5OnqOPBNLWSHKh2a30DoXe8/edit?usp=sharing"",""ปัตตานี!I155"")"),15)</f>
        <v>15</v>
      </c>
      <c r="J235" s="195">
        <f ca="1">IFERROR(__xludf.DUMMYFUNCTION("IMPORTRANGE(""https://docs.google.com/spreadsheets/d/1IYY_tgx_IHuhSq3AJ5eI5OnqOPBNLWSHKh2a30DoXe8/edit?usp=sharing"",""ปัตตานี!J155"")"),15)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IFERROR(__xludf.DUMMYFUNCTION("IMPORTRANGE(""https://docs.google.com/spreadsheets/d/1IYY_tgx_IHuhSq3AJ5eI5OnqOPBNLWSHKh2a30DoXe8/edit?usp=sharing"",""ปัตตานี!J156"")"),0)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IFERROR(__xludf.DUMMYFUNCTION("IMPORTRANGE(""https://docs.google.com/spreadsheets/d/1IYY_tgx_IHuhSq3AJ5eI5OnqOPBNLWSHKh2a30DoXe8/edit?usp=sharing"",""ปัตตานี!J157"")"),0)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IFERROR(__xludf.DUMMYFUNCTION("IMPORTRANGE(""https://docs.google.com/spreadsheets/d/1IYY_tgx_IHuhSq3AJ5eI5OnqOPBNLWSHKh2a30DoXe8/edit?usp=sharing"",""ปัตตานี!I158"")"),0)</f>
        <v>0</v>
      </c>
      <c r="J238" s="273">
        <f ca="1">IFERROR(__xludf.DUMMYFUNCTION("IMPORTRANGE(""https://docs.google.com/spreadsheets/d/1IYY_tgx_IHuhSq3AJ5eI5OnqOPBNLWSHKh2a30DoXe8/edit?usp=sharing"",""ปัตตานี!J158"")"),0)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IFERROR(__xludf.DUMMYFUNCTION("IMPORTRANGE(""https://docs.google.com/spreadsheets/d/1IYY_tgx_IHuhSq3AJ5eI5OnqOPBNLWSHKh2a30DoXe8/edit?usp=sharing"",""ปัตตานี!J159"")"),"")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IFERROR(__xludf.DUMMYFUNCTION("IMPORTRANGE(""https://docs.google.com/spreadsheets/d/1IYY_tgx_IHuhSq3AJ5eI5OnqOPBNLWSHKh2a30DoXe8/edit?usp=sharing"",""ปัตตานี!J161"")"),0)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IFERROR(__xludf.DUMMYFUNCTION("IMPORTRANGE(""https://docs.google.com/spreadsheets/d/1IYY_tgx_IHuhSq3AJ5eI5OnqOPBNLWSHKh2a30DoXe8/edit?usp=sharing"",""ปัตตานี!J162"")"),0)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IFERROR(__xludf.DUMMYFUNCTION("IMPORTRANGE(""https://docs.google.com/spreadsheets/d/1IYY_tgx_IHuhSq3AJ5eI5OnqOPBNLWSHKh2a30DoXe8/edit?usp=sharing"",""ปัตตานี!J163"")"),0)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IFERROR(__xludf.DUMMYFUNCTION("IMPORTRANGE(""https://docs.google.com/spreadsheets/d/1IYY_tgx_IHuhSq3AJ5eI5OnqOPBNLWSHKh2a30DoXe8/edit?usp=sharing"",""ปัตตานี!I164"")"),0)</f>
        <v>0</v>
      </c>
      <c r="J244" s="194">
        <f ca="1">IFERROR(__xludf.DUMMYFUNCTION("IMPORTRANGE(""https://docs.google.com/spreadsheets/d/1IYY_tgx_IHuhSq3AJ5eI5OnqOPBNLWSHKh2a30DoXe8/edit?usp=sharing"",""ปัตตานี!J164"")"),0)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IFERROR(__xludf.DUMMYFUNCTION("IMPORTRANGE(""https://docs.google.com/spreadsheets/d/1IYY_tgx_IHuhSq3AJ5eI5OnqOPBNLWSHKh2a30DoXe8/edit?usp=sharing"",""ปัตตานี!J165"")"),0)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IFERROR(__xludf.DUMMYFUNCTION("IMPORTRANGE(""https://docs.google.com/spreadsheets/d/1Yj_ptqi66GCucihVvJfMjLAmec39IyEx_6qawtMGysU/edit?usp=sharing"",""สบก!CB86"")"),0)</f>
        <v>0</v>
      </c>
      <c r="N254" s="174">
        <f ca="1">IFERROR(__xludf.DUMMYFUNCTION("IMPORTRANGE(""https://docs.google.com/spreadsheets/d/1Yj_ptqi66GCucihVvJfMjLAmec39IyEx_6qawtMGysU/edit?usp=sharing"",""สบก!CC86"")"),0)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IFERROR(__xludf.DUMMYFUNCTION("IMPORTRANGE(""https://docs.google.com/spreadsheets/d/1Yj_ptqi66GCucihVvJfMjLAmec39IyEx_6qawtMGysU/edit?usp=sharing"",""สบก!BX86"")"),0)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IFERROR(__xludf.DUMMYFUNCTION("IMPORTRANGE(""https://docs.google.com/spreadsheets/d/1Yj_ptqi66GCucihVvJfMjLAmec39IyEx_6qawtMGysU/edit?usp=sharing"",""สบก!BY86"")"),0)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IFERROR(__xludf.DUMMYFUNCTION("IMPORTRANGE(""https://docs.google.com/spreadsheets/d/1IYY_tgx_IHuhSq3AJ5eI5OnqOPBNLWSHKh2a30DoXe8/edit?usp=sharing"",""ปัตตานี!J175"")"),0)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IFERROR(__xludf.DUMMYFUNCTION("IMPORTRANGE(""https://docs.google.com/spreadsheets/d/1IYY_tgx_IHuhSq3AJ5eI5OnqOPBNLWSHKh2a30DoXe8/edit?usp=sharing"",""ปัตตานี!J176"")"),0)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IFERROR(__xludf.DUMMYFUNCTION("IMPORTRANGE(""https://docs.google.com/spreadsheets/d/1IYY_tgx_IHuhSq3AJ5eI5OnqOPBNLWSHKh2a30DoXe8/edit?usp=sharing"",""ปัตตานี!J177"")"),0)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IFERROR(__xludf.DUMMYFUNCTION("IMPORTRANGE(""https://docs.google.com/spreadsheets/d/1IYY_tgx_IHuhSq3AJ5eI5OnqOPBNLWSHKh2a30DoXe8/edit?usp=sharing"",""ปัตตานี!J178"")"),0)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IFERROR(__xludf.DUMMYFUNCTION("IMPORTRANGE(""https://docs.google.com/spreadsheets/d/1IYY_tgx_IHuhSq3AJ5eI5OnqOPBNLWSHKh2a30DoXe8/edit?usp=sharing"",""ปัตตานี!I179"")"),0)</f>
        <v>0</v>
      </c>
      <c r="J264" s="195">
        <f ca="1">IFERROR(__xludf.DUMMYFUNCTION("IMPORTRANGE(""https://docs.google.com/spreadsheets/d/1IYY_tgx_IHuhSq3AJ5eI5OnqOPBNLWSHKh2a30DoXe8/edit?usp=sharing"",""ปัตตานี!J179"")"),0)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IFERROR(__xludf.DUMMYFUNCTION("IMPORTRANGE(""https://docs.google.com/spreadsheets/d/1IYY_tgx_IHuhSq3AJ5eI5OnqOPBNLWSHKh2a30DoXe8/edit?usp=sharing"",""ปัตตานี!I180"")"),0)</f>
        <v>0</v>
      </c>
      <c r="J265" s="195">
        <f ca="1">IFERROR(__xludf.DUMMYFUNCTION("IMPORTRANGE(""https://docs.google.com/spreadsheets/d/1IYY_tgx_IHuhSq3AJ5eI5OnqOPBNLWSHKh2a30DoXe8/edit?usp=sharing"",""ปัตตานี!J180"")"),0)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IFERROR(__xludf.DUMMYFUNCTION("IMPORTRANGE(""https://docs.google.com/spreadsheets/d/1IYY_tgx_IHuhSq3AJ5eI5OnqOPBNLWSHKh2a30DoXe8/edit?usp=sharing"",""ปัตตานี!I181"")"),0)</f>
        <v>0</v>
      </c>
      <c r="J266" s="195">
        <f ca="1">IFERROR(__xludf.DUMMYFUNCTION("IMPORTRANGE(""https://docs.google.com/spreadsheets/d/1IYY_tgx_IHuhSq3AJ5eI5OnqOPBNLWSHKh2a30DoXe8/edit?usp=sharing"",""ปัตตานี!J181"")"),0)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IFERROR(__xludf.DUMMYFUNCTION("IMPORTRANGE(""https://docs.google.com/spreadsheets/d/1IYY_tgx_IHuhSq3AJ5eI5OnqOPBNLWSHKh2a30DoXe8/edit?usp=sharing"",""ปัตตานี!I182"")"),0)</f>
        <v>0</v>
      </c>
      <c r="J267" s="195">
        <f ca="1">IFERROR(__xludf.DUMMYFUNCTION("IMPORTRANGE(""https://docs.google.com/spreadsheets/d/1IYY_tgx_IHuhSq3AJ5eI5OnqOPBNLWSHKh2a30DoXe8/edit?usp=sharing"",""ปัตตานี!J182"")"),0)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IFERROR(__xludf.DUMMYFUNCTION("IMPORTRANGE(""https://docs.google.com/spreadsheets/d/1IYY_tgx_IHuhSq3AJ5eI5OnqOPBNLWSHKh2a30DoXe8/edit?usp=sharing"",""ปัตตานี!J183"")"),0)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IFERROR(__xludf.DUMMYFUNCTION("IMPORTRANGE(""https://docs.google.com/spreadsheets/d/1Yj_ptqi66GCucihVvJfMjLAmec39IyEx_6qawtMGysU/edit?usp=sharing"",""สบก!CK86"")"),0)</f>
        <v>0</v>
      </c>
      <c r="N275" s="174">
        <f ca="1">IFERROR(__xludf.DUMMYFUNCTION("IMPORTRANGE(""https://docs.google.com/spreadsheets/d/1Yj_ptqi66GCucihVvJfMjLAmec39IyEx_6qawtMGysU/edit?usp=sharing"",""สบก!CL86"")"),0)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IFERROR(__xludf.DUMMYFUNCTION("IMPORTRANGE(""https://docs.google.com/spreadsheets/d/1Yj_ptqi66GCucihVvJfMjLAmec39IyEx_6qawtMGysU/edit?usp=sharing"",""สบก!CG86"")"),0)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IFERROR(__xludf.DUMMYFUNCTION("IMPORTRANGE(""https://docs.google.com/spreadsheets/d/1Yj_ptqi66GCucihVvJfMjLAmec39IyEx_6qawtMGysU/edit?usp=sharing"",""สบก!CH86"")"),0)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IFERROR(__xludf.DUMMYFUNCTION("IMPORTRANGE(""https://docs.google.com/spreadsheets/d/1IYY_tgx_IHuhSq3AJ5eI5OnqOPBNLWSHKh2a30DoXe8/edit?usp=sharing"",""ปัตตานี!J191"")"),0)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IFERROR(__xludf.DUMMYFUNCTION("IMPORTRANGE(""https://docs.google.com/spreadsheets/d/1IYY_tgx_IHuhSq3AJ5eI5OnqOPBNLWSHKh2a30DoXe8/edit?usp=sharing"",""ปัตตานี!J192"")"),0)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IFERROR(__xludf.DUMMYFUNCTION("IMPORTRANGE(""https://docs.google.com/spreadsheets/d/1IYY_tgx_IHuhSq3AJ5eI5OnqOPBNLWSHKh2a30DoXe8/edit?usp=sharing"",""ปัตตานี!J193"")"),0)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IFERROR(__xludf.DUMMYFUNCTION("IMPORTRANGE(""https://docs.google.com/spreadsheets/d/1IYY_tgx_IHuhSq3AJ5eI5OnqOPBNLWSHKh2a30DoXe8/edit?usp=sharing"",""ปัตตานี!J194"")"),0)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IFERROR(__xludf.DUMMYFUNCTION("IMPORTRANGE(""https://docs.google.com/spreadsheets/d/1IYY_tgx_IHuhSq3AJ5eI5OnqOPBNLWSHKh2a30DoXe8/edit?usp=sharing"",""ปัตตานี!I195"")"),0)</f>
        <v>0</v>
      </c>
      <c r="J285" s="195">
        <f ca="1">IFERROR(__xludf.DUMMYFUNCTION("IMPORTRANGE(""https://docs.google.com/spreadsheets/d/1IYY_tgx_IHuhSq3AJ5eI5OnqOPBNLWSHKh2a30DoXe8/edit?usp=sharing"",""ปัตตานี!J195"")"),0)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IFERROR(__xludf.DUMMYFUNCTION("IMPORTRANGE(""https://docs.google.com/spreadsheets/d/1IYY_tgx_IHuhSq3AJ5eI5OnqOPBNLWSHKh2a30DoXe8/edit?usp=sharing"",""ปัตตานี!J196"")"),0)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IFERROR(__xludf.DUMMYFUNCTION("IMPORTRANGE(""https://docs.google.com/spreadsheets/d/1IYY_tgx_IHuhSq3AJ5eI5OnqOPBNLWSHKh2a30DoXe8/edit?usp=sharing"",""ปัตตานี!J197"")"),0)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IFERROR(__xludf.DUMMYFUNCTION("IMPORTRANGE(""https://docs.google.com/spreadsheets/d/1Yj_ptqi66GCucihVvJfMjLAmec39IyEx_6qawtMGysU/edit?usp=sharing"",""สบก!CT86"")"),0)</f>
        <v>0</v>
      </c>
      <c r="N294" s="174">
        <f ca="1">IFERROR(__xludf.DUMMYFUNCTION("IMPORTRANGE(""https://docs.google.com/spreadsheets/d/1Yj_ptqi66GCucihVvJfMjLAmec39IyEx_6qawtMGysU/edit?usp=sharing"",""สบก!CU86"")"),0)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IFERROR(__xludf.DUMMYFUNCTION("IMPORTRANGE(""https://docs.google.com/spreadsheets/d/1Yj_ptqi66GCucihVvJfMjLAmec39IyEx_6qawtMGysU/edit?usp=sharing"",""สบก!CP86"")"),0)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IFERROR(__xludf.DUMMYFUNCTION("IMPORTRANGE(""https://docs.google.com/spreadsheets/d/1Yj_ptqi66GCucihVvJfMjLAmec39IyEx_6qawtMGysU/edit?usp=sharing"",""สบก!CQ86"")"),0)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IFERROR(__xludf.DUMMYFUNCTION("IMPORTRANGE(""https://docs.google.com/spreadsheets/d/1IYY_tgx_IHuhSq3AJ5eI5OnqOPBNLWSHKh2a30DoXe8/edit?usp=sharing"",""ปัตตานี!J205"")"),0)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IFERROR(__xludf.DUMMYFUNCTION("IMPORTRANGE(""https://docs.google.com/spreadsheets/d/1IYY_tgx_IHuhSq3AJ5eI5OnqOPBNLWSHKh2a30DoXe8/edit?usp=sharing"",""ปัตตานี!J206"")"),0)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IFERROR(__xludf.DUMMYFUNCTION("IMPORTRANGE(""https://docs.google.com/spreadsheets/d/1IYY_tgx_IHuhSq3AJ5eI5OnqOPBNLWSHKh2a30DoXe8/edit?usp=sharing"",""ปัตตานี!J207"")"),0)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IFERROR(__xludf.DUMMYFUNCTION("IMPORTRANGE(""https://docs.google.com/spreadsheets/d/1IYY_tgx_IHuhSq3AJ5eI5OnqOPBNLWSHKh2a30DoXe8/edit?usp=sharing"",""ปัตตานี!J208"")"),0)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IFERROR(__xludf.DUMMYFUNCTION("IMPORTRANGE(""https://docs.google.com/spreadsheets/d/1IYY_tgx_IHuhSq3AJ5eI5OnqOPBNLWSHKh2a30DoXe8/edit?usp=sharing"",""ปัตตานี!I209"")"),0)</f>
        <v>0</v>
      </c>
      <c r="J304" s="210">
        <f ca="1">IFERROR(__xludf.DUMMYFUNCTION("IMPORTRANGE(""https://docs.google.com/spreadsheets/d/1IYY_tgx_IHuhSq3AJ5eI5OnqOPBNLWSHKh2a30DoXe8/edit?usp=sharing"",""ปัตตานี!J209"")"),0)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IFERROR(__xludf.DUMMYFUNCTION("IMPORTRANGE(""https://docs.google.com/spreadsheets/d/1IYY_tgx_IHuhSq3AJ5eI5OnqOPBNLWSHKh2a30DoXe8/edit?usp=sharing"",""ปัตตานี!I211"")"),0)</f>
        <v>0</v>
      </c>
      <c r="J306" s="210">
        <f ca="1">IFERROR(__xludf.DUMMYFUNCTION("IMPORTRANGE(""https://docs.google.com/spreadsheets/d/1IYY_tgx_IHuhSq3AJ5eI5OnqOPBNLWSHKh2a30DoXe8/edit?usp=sharing"",""ปัตตานี!J211"")"),0)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IFERROR(__xludf.DUMMYFUNCTION("IMPORTRANGE(""https://docs.google.com/spreadsheets/d/1IYY_tgx_IHuhSq3AJ5eI5OnqOPBNLWSHKh2a30DoXe8/edit?usp=sharing"",""ปัตตานี!J212"")"),0)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IFERROR(__xludf.DUMMYFUNCTION("IMPORTRANGE(""https://docs.google.com/spreadsheets/d/1Yj_ptqi66GCucihVvJfMjLAmec39IyEx_6qawtMGysU/edit?usp=sharing"",""สบก!DC86"")"),0)</f>
        <v>0</v>
      </c>
      <c r="N314" s="174">
        <f ca="1">IFERROR(__xludf.DUMMYFUNCTION("IMPORTRANGE(""https://docs.google.com/spreadsheets/d/1Yj_ptqi66GCucihVvJfMjLAmec39IyEx_6qawtMGysU/edit?usp=sharing"",""สบก!DD86"")"),0)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IFERROR(__xludf.DUMMYFUNCTION("IMPORTRANGE(""https://docs.google.com/spreadsheets/d/1Yj_ptqi66GCucihVvJfMjLAmec39IyEx_6qawtMGysU/edit?usp=sharing"",""สบก!CY86"")"),0)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IFERROR(__xludf.DUMMYFUNCTION("IMPORTRANGE(""https://docs.google.com/spreadsheets/d/1Yj_ptqi66GCucihVvJfMjLAmec39IyEx_6qawtMGysU/edit?usp=sharing"",""สบก!CZ86"")"),0)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IFERROR(__xludf.DUMMYFUNCTION("IMPORTRANGE(""https://docs.google.com/spreadsheets/d/1IYY_tgx_IHuhSq3AJ5eI5OnqOPBNLWSHKh2a30DoXe8/edit?usp=sharing"",""ปัตตานี!J220"")"),0)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IFERROR(__xludf.DUMMYFUNCTION("IMPORTRANGE(""https://docs.google.com/spreadsheets/d/1IYY_tgx_IHuhSq3AJ5eI5OnqOPBNLWSHKh2a30DoXe8/edit?usp=sharing"",""ปัตตานี!J221"")"),0)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IFERROR(__xludf.DUMMYFUNCTION("IMPORTRANGE(""https://docs.google.com/spreadsheets/d/1IYY_tgx_IHuhSq3AJ5eI5OnqOPBNLWSHKh2a30DoXe8/edit?usp=sharing"",""ปัตตานี!J222"")"),0)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IFERROR(__xludf.DUMMYFUNCTION("IMPORTRANGE(""https://docs.google.com/spreadsheets/d/1IYY_tgx_IHuhSq3AJ5eI5OnqOPBNLWSHKh2a30DoXe8/edit?usp=sharing"",""ปัตตานี!J223"")"),0)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IFERROR(__xludf.DUMMYFUNCTION("IMPORTRANGE(""https://docs.google.com/spreadsheets/d/1IYY_tgx_IHuhSq3AJ5eI5OnqOPBNLWSHKh2a30DoXe8/edit?usp=sharing"",""ปัตตานี!I224"")"),0)</f>
        <v>0</v>
      </c>
      <c r="J324" s="210">
        <f ca="1">IFERROR(__xludf.DUMMYFUNCTION("IMPORTRANGE(""https://docs.google.com/spreadsheets/d/1IYY_tgx_IHuhSq3AJ5eI5OnqOPBNLWSHKh2a30DoXe8/edit?usp=sharing"",""ปัตตานี!J224"")"),0)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IFERROR(__xludf.DUMMYFUNCTION("IMPORTRANGE(""https://docs.google.com/spreadsheets/d/1IYY_tgx_IHuhSq3AJ5eI5OnqOPBNLWSHKh2a30DoXe8/edit?usp=sharing"",""ปัตตานี!J225"")"),0)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IFERROR(__xludf.DUMMYFUNCTION("IMPORTRANGE(""https://docs.google.com/spreadsheets/d/1IYY_tgx_IHuhSq3AJ5eI5OnqOPBNLWSHKh2a30DoXe8/edit?usp=sharing"",""ปัตตานี!J226"")"),0)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IFERROR(__xludf.DUMMYFUNCTION("IMPORTRANGE(""https://docs.google.com/spreadsheets/d/1IYY_tgx_IHuhSq3AJ5eI5OnqOPBNLWSHKh2a30DoXe8/edit?usp=sharing"",""ปัตตานี!J228"")"),239)</f>
        <v>239</v>
      </c>
      <c r="K328" s="323">
        <f ca="1">IF(I328&gt;0,J328*100/I328,0)</f>
        <v>113.80952380952381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707640</v>
      </c>
      <c r="M329" s="156">
        <f t="shared" ca="1" si="98"/>
        <v>746640</v>
      </c>
      <c r="N329" s="156">
        <f t="shared" ca="1" si="98"/>
        <v>602517.65</v>
      </c>
      <c r="O329" s="155">
        <f t="shared" ref="O329:O331" ca="1" si="99">IF(L329&gt;0,N329*100/L329,0)</f>
        <v>85.144656887682999</v>
      </c>
      <c r="P329" s="155">
        <f t="shared" ref="P329:P331" ca="1" si="100">IF(M329&gt;0,N329*100/M329,0)</f>
        <v>80.697210168220295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707640</v>
      </c>
      <c r="M331" s="161">
        <f t="shared" ca="1" si="102"/>
        <v>746640</v>
      </c>
      <c r="N331" s="161">
        <f t="shared" ca="1" si="102"/>
        <v>602517.65</v>
      </c>
      <c r="O331" s="160">
        <f t="shared" ca="1" si="99"/>
        <v>85.144656887682999</v>
      </c>
      <c r="P331" s="160">
        <f t="shared" ca="1" si="100"/>
        <v>80.697210168220295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695140</v>
      </c>
      <c r="M333" s="173">
        <f ca="1">IFERROR(__xludf.DUMMYFUNCTION("IMPORTRANGE(""https://docs.google.com/spreadsheets/d/1Yj_ptqi66GCucihVvJfMjLAmec39IyEx_6qawtMGysU/edit?usp=sharing"",""สบก!DL86"")"),734140)</f>
        <v>734140</v>
      </c>
      <c r="N333" s="174">
        <f ca="1">IFERROR(__xludf.DUMMYFUNCTION("IMPORTRANGE(""https://docs.google.com/spreadsheets/d/1Yj_ptqi66GCucihVvJfMjLAmec39IyEx_6qawtMGysU/edit?usp=sharing"",""สบก!DM86"")"),590017.65)</f>
        <v>590017.65</v>
      </c>
      <c r="O333" s="175">
        <f ca="1">IF(L333&gt;0,N333*100/L333,0)</f>
        <v>84.877528267687083</v>
      </c>
      <c r="P333" s="175">
        <f ca="1">IF(M333&gt;0,N333*100/M333,0)</f>
        <v>80.368546871168988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IFERROR(__xludf.DUMMYFUNCTION("IMPORTRANGE(""https://docs.google.com/spreadsheets/d/1Yj_ptqi66GCucihVvJfMjLAmec39IyEx_6qawtMGysU/edit?usp=sharing"",""สบก!DH86"")"),417600)</f>
        <v>417600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IFERROR(__xludf.DUMMYFUNCTION("IMPORTRANGE(""https://docs.google.com/spreadsheets/d/1Yj_ptqi66GCucihVvJfMjLAmec39IyEx_6qawtMGysU/edit?usp=sharing"",""สบก!DI86"")"),277540)</f>
        <v>277540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IFERROR(__xludf.DUMMYFUNCTION("IMPORTRANGE(""https://docs.google.com/spreadsheets/d/1IYY_tgx_IHuhSq3AJ5eI5OnqOPBNLWSHKh2a30DoXe8/edit?usp=sharing"",""ปัตตานี!I234"")"),0)</f>
        <v>0</v>
      </c>
      <c r="J339" s="194">
        <f ca="1">IFERROR(__xludf.DUMMYFUNCTION("IMPORTRANGE(""https://docs.google.com/spreadsheets/d/1IYY_tgx_IHuhSq3AJ5eI5OnqOPBNLWSHKh2a30DoXe8/edit?usp=sharing"",""ปัตตานี!J234"")"),238)</f>
        <v>238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IFERROR(__xludf.DUMMYFUNCTION("IMPORTRANGE(""https://docs.google.com/spreadsheets/d/1IYY_tgx_IHuhSq3AJ5eI5OnqOPBNLWSHKh2a30DoXe8/edit?usp=sharing"",""ปัตตานี!I235"")"),944)</f>
        <v>944</v>
      </c>
      <c r="J340" s="194">
        <f ca="1">IFERROR(__xludf.DUMMYFUNCTION("IMPORTRANGE(""https://docs.google.com/spreadsheets/d/1IYY_tgx_IHuhSq3AJ5eI5OnqOPBNLWSHKh2a30DoXe8/edit?usp=sharing"",""ปัตตานี!J235"")"),989.55)</f>
        <v>989.55</v>
      </c>
      <c r="K340" s="348">
        <f t="shared" ca="1" si="103"/>
        <v>104.82521186440678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IFERROR(__xludf.DUMMYFUNCTION("IMPORTRANGE(""https://docs.google.com/spreadsheets/d/1IYY_tgx_IHuhSq3AJ5eI5OnqOPBNLWSHKh2a30DoXe8/edit?usp=sharing"",""ปัตตานี!I236"")"),210)</f>
        <v>210</v>
      </c>
      <c r="J341" s="194">
        <f ca="1">IFERROR(__xludf.DUMMYFUNCTION("IMPORTRANGE(""https://docs.google.com/spreadsheets/d/1IYY_tgx_IHuhSq3AJ5eI5OnqOPBNLWSHKh2a30DoXe8/edit?usp=sharing"",""ปัตตานี!J236"")"),281)</f>
        <v>281</v>
      </c>
      <c r="K341" s="348">
        <f t="shared" ca="1" si="103"/>
        <v>133.8095238095238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4">
        <f ca="1">IFERROR(__xludf.DUMMYFUNCTION("IMPORTRANGE(""https://docs.google.com/spreadsheets/d/1IYY_tgx_IHuhSq3AJ5eI5OnqOPBNLWSHKh2a30DoXe8/edit?usp=sharing"",""ปัตตานี!J237"")"),1239.12)</f>
        <v>1239.1199999999999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IFERROR(__xludf.DUMMYFUNCTION("IMPORTRANGE(""https://docs.google.com/spreadsheets/d/1IYY_tgx_IHuhSq3AJ5eI5OnqOPBNLWSHKh2a30DoXe8/edit?usp=sharing"",""ปัตตานี!I238"")"),210)</f>
        <v>210</v>
      </c>
      <c r="J343" s="194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4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IFERROR(__xludf.DUMMYFUNCTION("IMPORTRANGE(""https://docs.google.com/spreadsheets/d/1IYY_tgx_IHuhSq3AJ5eI5OnqOPBNLWSHKh2a30DoXe8/edit?usp=sharing"",""ปัตตานี!I240"")"),210)</f>
        <v>210</v>
      </c>
      <c r="J345" s="194">
        <f ca="1">IFERROR(__xludf.DUMMYFUNCTION("IMPORTRANGE(""https://docs.google.com/spreadsheets/d/1IYY_tgx_IHuhSq3AJ5eI5OnqOPBNLWSHKh2a30DoXe8/edit?usp=sharing"",""ปัตตานี!J240"")"),239)</f>
        <v>239</v>
      </c>
      <c r="K345" s="348">
        <f t="shared" ca="1" si="103"/>
        <v>113.80952380952381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4">
        <f ca="1">IFERROR(__xludf.DUMMYFUNCTION("IMPORTRANGE(""https://docs.google.com/spreadsheets/d/1IYY_tgx_IHuhSq3AJ5eI5OnqOPBNLWSHKh2a30DoXe8/edit?usp=sharing"",""ปัตตานี!J241"")"),1022.88)</f>
        <v>1022.88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IFERROR(__xludf.DUMMYFUNCTION("IMPORTRANGE(""https://docs.google.com/spreadsheets/d/1IYY_tgx_IHuhSq3AJ5eI5OnqOPBNLWSHKh2a30DoXe8/edit?usp=sharing"",""ปัตตานี!L242"")"),723826)</f>
        <v>723826</v>
      </c>
      <c r="M347" s="364"/>
      <c r="N347" s="364">
        <f ca="1">IFERROR(__xludf.DUMMYFUNCTION("IMPORTRANGE(""https://docs.google.com/spreadsheets/d/1IYY_tgx_IHuhSq3AJ5eI5OnqOPBNLWSHKh2a30DoXe8/edit?usp=sharing"",""ปัตตานี!M242"")"),706850.669999999)</f>
        <v>706850.66999999899</v>
      </c>
      <c r="O347" s="364">
        <f ca="1">+IF(L347&gt;0,N347*100/L347,0)</f>
        <v>97.65477752940609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IFERROR(__xludf.DUMMYFUNCTION("IMPORTRANGE(""https://docs.google.com/spreadsheets/d/1IYY_tgx_IHuhSq3AJ5eI5OnqOPBNLWSHKh2a30DoXe8/edit?usp=sharing"",""ปัตตานี!L244"")"),215720)</f>
        <v>215720</v>
      </c>
      <c r="M349" s="379"/>
      <c r="N349" s="379">
        <f ca="1">IFERROR(__xludf.DUMMYFUNCTION("IMPORTRANGE(""https://docs.google.com/spreadsheets/d/1IYY_tgx_IHuhSq3AJ5eI5OnqOPBNLWSHKh2a30DoXe8/edit?usp=sharing"",""ปัตตานี!M244"")"),215720)</f>
        <v>215720</v>
      </c>
      <c r="O349" s="379">
        <f ca="1">+IF(L349&gt;0,N349*100/L349,0)</f>
        <v>100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IFERROR(__xludf.DUMMYFUNCTION("IMPORTRANGE(""https://docs.google.com/spreadsheets/d/1IYY_tgx_IHuhSq3AJ5eI5OnqOPBNLWSHKh2a30DoXe8/edit?usp=sharing"",""ปัตตานี!L246"")"),0)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IFERROR(__xludf.DUMMYFUNCTION("IMPORTRANGE(""https://docs.google.com/spreadsheets/d/1IYY_tgx_IHuhSq3AJ5eI5OnqOPBNLWSHKh2a30DoXe8/edit?usp=sharing"",""ปัตตานี!L247"")"),215720)</f>
        <v>215720</v>
      </c>
      <c r="M352" s="169"/>
      <c r="N352" s="168">
        <f ca="1">IFERROR(__xludf.DUMMYFUNCTION("IMPORTRANGE(""https://docs.google.com/spreadsheets/d/1IYY_tgx_IHuhSq3AJ5eI5OnqOPBNLWSHKh2a30DoXe8/edit?usp=sharing"",""ปัตตานี!M247"")"),215720)</f>
        <v>215720</v>
      </c>
      <c r="O352" s="169">
        <f t="shared" ca="1" si="105"/>
        <v>100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IFERROR(__xludf.DUMMYFUNCTION("IMPORTRANGE(""https://docs.google.com/spreadsheets/d/1IYY_tgx_IHuhSq3AJ5eI5OnqOPBNLWSHKh2a30DoXe8/edit?usp=sharing"",""ปัตตานี!L248"")"),0)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IFERROR(__xludf.DUMMYFUNCTION("IMPORTRANGE(""https://docs.google.com/spreadsheets/d/1IYY_tgx_IHuhSq3AJ5eI5OnqOPBNLWSHKh2a30DoXe8/edit?usp=sharing"",""ปัตตานี!M248"")"),0)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IFERROR(__xludf.DUMMYFUNCTION("IMPORTRANGE(""https://docs.google.com/spreadsheets/d/1IYY_tgx_IHuhSq3AJ5eI5OnqOPBNLWSHKh2a30DoXe8/edit?usp=sharing"",""ปัตตานี!L249"")"),215720)</f>
        <v>215720</v>
      </c>
      <c r="M354" s="175"/>
      <c r="N354" s="172">
        <f ca="1">IFERROR(__xludf.DUMMYFUNCTION("IMPORTRANGE(""https://docs.google.com/spreadsheets/d/1IYY_tgx_IHuhSq3AJ5eI5OnqOPBNLWSHKh2a30DoXe8/edit?usp=sharing"",""ปัตตานี!M249"")"),215720)</f>
        <v>215720</v>
      </c>
      <c r="O354" s="175">
        <f t="shared" ca="1" si="105"/>
        <v>100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IFERROR(__xludf.DUMMYFUNCTION("IMPORTRANGE(""https://docs.google.com/spreadsheets/d/1IYY_tgx_IHuhSq3AJ5eI5OnqOPBNLWSHKh2a30DoXe8/edit?usp=sharing"",""ปัตตานี!M253"")"),18520)</f>
        <v>18520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IFERROR(__xludf.DUMMYFUNCTION("IMPORTRANGE(""https://docs.google.com/spreadsheets/d/1IYY_tgx_IHuhSq3AJ5eI5OnqOPBNLWSHKh2a30DoXe8/edit?usp=sharing"",""ปัตตานี!J255"")"),0)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IFERROR(__xludf.DUMMYFUNCTION("IMPORTRANGE(""https://docs.google.com/spreadsheets/d/1IYY_tgx_IHuhSq3AJ5eI5OnqOPBNLWSHKh2a30DoXe8/edit?usp=sharing"",""ปัตตานี!J256"")"),1)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IFERROR(__xludf.DUMMYFUNCTION("IMPORTRANGE(""https://docs.google.com/spreadsheets/d/1IYY_tgx_IHuhSq3AJ5eI5OnqOPBNLWSHKh2a30DoXe8/edit?usp=sharing"",""ปัตตานี!J257"")"),1)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IFERROR(__xludf.DUMMYFUNCTION("IMPORTRANGE(""https://docs.google.com/spreadsheets/d/1IYY_tgx_IHuhSq3AJ5eI5OnqOPBNLWSHKh2a30DoXe8/edit?usp=sharing"",""ปัตตานี!J258"")"),1)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IFERROR(__xludf.DUMMYFUNCTION("IMPORTRANGE(""https://docs.google.com/spreadsheets/d/1IYY_tgx_IHuhSq3AJ5eI5OnqOPBNLWSHKh2a30DoXe8/edit?usp=sharing"",""ปัตตานี!J166"")"),0)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IFERROR(__xludf.DUMMYFUNCTION("IMPORTRANGE(""https://docs.google.com/spreadsheets/d/1IYY_tgx_IHuhSq3AJ5eI5OnqOPBNLWSHKh2a30DoXe8/edit?usp=sharing"",""ปัตตานี!J166"")"),0)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IFERROR(__xludf.DUMMYFUNCTION("IMPORTRANGE(""https://docs.google.com/spreadsheets/d/1IYY_tgx_IHuhSq3AJ5eI5OnqOPBNLWSHKh2a30DoXe8/edit?usp=sharing"",""ปัตตานี!J166"")"),0)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IFERROR(__xludf.DUMMYFUNCTION("IMPORTRANGE(""https://docs.google.com/spreadsheets/d/1IYY_tgx_IHuhSq3AJ5eI5OnqOPBNLWSHKh2a30DoXe8/edit?usp=sharing"",""ปัตตานี!J166"")"),0)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IFERROR(__xludf.DUMMYFUNCTION("IMPORTRANGE(""https://docs.google.com/spreadsheets/d/1IYY_tgx_IHuhSq3AJ5eI5OnqOPBNLWSHKh2a30DoXe8/edit?usp=sharing"",""ปัตตานี!I263"")"),10)</f>
        <v>10</v>
      </c>
      <c r="J368" s="194">
        <f ca="1">IFERROR(__xludf.DUMMYFUNCTION("IMPORTRANGE(""https://docs.google.com/spreadsheets/d/1IYY_tgx_IHuhSq3AJ5eI5OnqOPBNLWSHKh2a30DoXe8/edit?usp=sharing"",""ปัตตานี!J263"")"),10)</f>
        <v>10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IFERROR(__xludf.DUMMYFUNCTION("IMPORTRANGE(""https://docs.google.com/spreadsheets/d/1IYY_tgx_IHuhSq3AJ5eI5OnqOPBNLWSHKh2a30DoXe8/edit?usp=sharing"",""ปัตตานี!I164"")"),0)</f>
        <v>0</v>
      </c>
      <c r="J369" s="210">
        <f ca="1">IFERROR(__xludf.DUMMYFUNCTION("IMPORTRANGE(""https://docs.google.com/spreadsheets/d/1IYY_tgx_IHuhSq3AJ5eI5OnqOPBNLWSHKh2a30DoXe8/edit?usp=sharing"",""ปัตตานี!J164"")"),0)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IFERROR(__xludf.DUMMYFUNCTION("IMPORTRANGE(""https://docs.google.com/spreadsheets/d/1IYY_tgx_IHuhSq3AJ5eI5OnqOPBNLWSHKh2a30DoXe8/edit?usp=sharing"",""ปัตตานี!I265"")"),10)</f>
        <v>10</v>
      </c>
      <c r="J370" s="210">
        <f ca="1">IFERROR(__xludf.DUMMYFUNCTION("IMPORTRANGE(""https://docs.google.com/spreadsheets/d/1IYY_tgx_IHuhSq3AJ5eI5OnqOPBNLWSHKh2a30DoXe8/edit?usp=sharing"",""ปัตตานี!J265"")"),0)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IFERROR(__xludf.DUMMYFUNCTION("IMPORTRANGE(""https://docs.google.com/spreadsheets/d/1IYY_tgx_IHuhSq3AJ5eI5OnqOPBNLWSHKh2a30DoXe8/edit?usp=sharing"",""ปัตตานี!I164"")"),0)</f>
        <v>0</v>
      </c>
      <c r="J371" s="195">
        <f ca="1">IFERROR(__xludf.DUMMYFUNCTION("IMPORTRANGE(""https://docs.google.com/spreadsheets/d/1IYY_tgx_IHuhSq3AJ5eI5OnqOPBNLWSHKh2a30DoXe8/edit?usp=sharing"",""ปัตตานี!J164"")"),0)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IFERROR(__xludf.DUMMYFUNCTION("IMPORTRANGE(""https://docs.google.com/spreadsheets/d/1IYY_tgx_IHuhSq3AJ5eI5OnqOPBNLWSHKh2a30DoXe8/edit?usp=sharing"",""ปัตตานี!I267"")"),10)</f>
        <v>10</v>
      </c>
      <c r="J372" s="195">
        <f ca="1">IFERROR(__xludf.DUMMYFUNCTION("IMPORTRANGE(""https://docs.google.com/spreadsheets/d/1IYY_tgx_IHuhSq3AJ5eI5OnqOPBNLWSHKh2a30DoXe8/edit?usp=sharing"",""ปัตตานี!J267"")"),10)</f>
        <v>10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IFERROR(__xludf.DUMMYFUNCTION("IMPORTRANGE(""https://docs.google.com/spreadsheets/d/1IYY_tgx_IHuhSq3AJ5eI5OnqOPBNLWSHKh2a30DoXe8/edit?usp=sharing"",""ปัตตานี!I164"")"),0)</f>
        <v>0</v>
      </c>
      <c r="J373" s="210">
        <f ca="1">IFERROR(__xludf.DUMMYFUNCTION("IMPORTRANGE(""https://docs.google.com/spreadsheets/d/1IYY_tgx_IHuhSq3AJ5eI5OnqOPBNLWSHKh2a30DoXe8/edit?usp=sharing"",""ปัตตานี!J164"")"),0)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IFERROR(__xludf.DUMMYFUNCTION("IMPORTRANGE(""https://docs.google.com/spreadsheets/d/1IYY_tgx_IHuhSq3AJ5eI5OnqOPBNLWSHKh2a30DoXe8/edit?usp=sharing"",""ปัตตานี!I164"")"),0)</f>
        <v>0</v>
      </c>
      <c r="J374" s="194">
        <f ca="1">IFERROR(__xludf.DUMMYFUNCTION("IMPORTRANGE(""https://docs.google.com/spreadsheets/d/1IYY_tgx_IHuhSq3AJ5eI5OnqOPBNLWSHKh2a30DoXe8/edit?usp=sharing"",""ปัตตานี!J164"")"),0)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IFERROR(__xludf.DUMMYFUNCTION("IMPORTRANGE(""https://docs.google.com/spreadsheets/d/1IYY_tgx_IHuhSq3AJ5eI5OnqOPBNLWSHKh2a30DoXe8/edit?usp=sharing"",""ปัตตานี!I270"")"),20)</f>
        <v>20</v>
      </c>
      <c r="J375" s="194">
        <f ca="1">IFERROR(__xludf.DUMMYFUNCTION("IMPORTRANGE(""https://docs.google.com/spreadsheets/d/1IYY_tgx_IHuhSq3AJ5eI5OnqOPBNLWSHKh2a30DoXe8/edit?usp=sharing"",""ปัตตานี!J270"")"),20)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IFERROR(__xludf.DUMMYFUNCTION("IMPORTRANGE(""https://docs.google.com/spreadsheets/d/1IYY_tgx_IHuhSq3AJ5eI5OnqOPBNLWSHKh2a30DoXe8/edit?usp=sharing"",""ปัตตานี!I271"")"),20)</f>
        <v>20</v>
      </c>
      <c r="J376" s="195">
        <f ca="1">IFERROR(__xludf.DUMMYFUNCTION("IMPORTRANGE(""https://docs.google.com/spreadsheets/d/1IYY_tgx_IHuhSq3AJ5eI5OnqOPBNLWSHKh2a30DoXe8/edit?usp=sharing"",""ปัตตานี!J271"")"),20)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IFERROR(__xludf.DUMMYFUNCTION("IMPORTRANGE(""https://docs.google.com/spreadsheets/d/1IYY_tgx_IHuhSq3AJ5eI5OnqOPBNLWSHKh2a30DoXe8/edit?usp=sharing"",""ปัตตานี!I272"")"),0)</f>
        <v>0</v>
      </c>
      <c r="J377" s="210">
        <f ca="1">IFERROR(__xludf.DUMMYFUNCTION("IMPORTRANGE(""https://docs.google.com/spreadsheets/d/1IYY_tgx_IHuhSq3AJ5eI5OnqOPBNLWSHKh2a30DoXe8/edit?usp=sharing"",""ปัตตานี!J272"")"),0)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IFERROR(__xludf.DUMMYFUNCTION("IMPORTRANGE(""https://docs.google.com/spreadsheets/d/1IYY_tgx_IHuhSq3AJ5eI5OnqOPBNLWSHKh2a30DoXe8/edit?usp=sharing"",""ปัตตานี!J273"")"),1)</f>
        <v>1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IFERROR(__xludf.DUMMYFUNCTION("IMPORTRANGE(""https://docs.google.com/spreadsheets/d/1IYY_tgx_IHuhSq3AJ5eI5OnqOPBNLWSHKh2a30DoXe8/edit?usp=sharing"",""ปัตตานี!J274"")"),1)</f>
        <v>1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IFERROR(__xludf.DUMMYFUNCTION("IMPORTRANGE(""https://docs.google.com/spreadsheets/d/1IYY_tgx_IHuhSq3AJ5eI5OnqOPBNLWSHKh2a30DoXe8/edit?usp=sharing"",""ปัตตานี!M275"")"),82904.04)</f>
        <v>82904.039999999994</v>
      </c>
      <c r="O380" s="379">
        <f ca="1">+IF(L380&gt;0,N380*100/L380,0)</f>
        <v>94.52062478622733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IFERROR(__xludf.DUMMYFUNCTION("IMPORTRANGE(""https://docs.google.com/spreadsheets/d/1IYY_tgx_IHuhSq3AJ5eI5OnqOPBNLWSHKh2a30DoXe8/edit?usp=sharing"",""ปัตตานี!L277"")"),0)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IFERROR(__xludf.DUMMYFUNCTION("IMPORTRANGE(""https://docs.google.com/spreadsheets/d/1IYY_tgx_IHuhSq3AJ5eI5OnqOPBNLWSHKh2a30DoXe8/edit?usp=sharing"",""ปัตตานี!M278"")"),82904.04)</f>
        <v>82904.039999999994</v>
      </c>
      <c r="O383" s="169">
        <f t="shared" ca="1" si="109"/>
        <v>94.52062478622733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IFERROR(__xludf.DUMMYFUNCTION("IMPORTRANGE(""https://docs.google.com/spreadsheets/d/1IYY_tgx_IHuhSq3AJ5eI5OnqOPBNLWSHKh2a30DoXe8/edit?usp=sharing"",""ปัตตานี!L279"")"),0)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IFERROR(__xludf.DUMMYFUNCTION("IMPORTRANGE(""https://docs.google.com/spreadsheets/d/1IYY_tgx_IHuhSq3AJ5eI5OnqOPBNLWSHKh2a30DoXe8/edit?usp=sharing"",""ปัตตานี!M279"")"),0)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IFERROR(__xludf.DUMMYFUNCTION("IMPORTRANGE(""https://docs.google.com/spreadsheets/d/1IYY_tgx_IHuhSq3AJ5eI5OnqOPBNLWSHKh2a30DoXe8/edit?usp=sharing"",""ปัตตานี!L280"")"),87710)</f>
        <v>87710</v>
      </c>
      <c r="M385" s="175"/>
      <c r="N385" s="172">
        <f ca="1">IFERROR(__xludf.DUMMYFUNCTION("IMPORTRANGE(""https://docs.google.com/spreadsheets/d/1IYY_tgx_IHuhSq3AJ5eI5OnqOPBNLWSHKh2a30DoXe8/edit?usp=sharing"",""ปัตตานี!M280"")"),82904.04)</f>
        <v>82904.039999999994</v>
      </c>
      <c r="O385" s="175">
        <f t="shared" ca="1" si="109"/>
        <v>94.52062478622733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IFERROR(__xludf.DUMMYFUNCTION("IMPORTRANGE(""https://docs.google.com/spreadsheets/d/1IYY_tgx_IHuhSq3AJ5eI5OnqOPBNLWSHKh2a30DoXe8/edit?usp=sharing"",""ปัตตานี!M281"")"),32700)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IFERROR(__xludf.DUMMYFUNCTION("IMPORTRANGE(""https://docs.google.com/spreadsheets/d/1IYY_tgx_IHuhSq3AJ5eI5OnqOPBNLWSHKh2a30DoXe8/edit?usp=sharing"",""ปัตตานี!M282"")"),31250)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IFERROR(__xludf.DUMMYFUNCTION("IMPORTRANGE(""https://docs.google.com/spreadsheets/d/1IYY_tgx_IHuhSq3AJ5eI5OnqOPBNLWSHKh2a30DoXe8/edit?usp=sharing"",""ปัตตานี!M284"")"),18954.04)</f>
        <v>18954.04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IFERROR(__xludf.DUMMYFUNCTION("IMPORTRANGE(""https://docs.google.com/spreadsheets/d/1IYY_tgx_IHuhSq3AJ5eI5OnqOPBNLWSHKh2a30DoXe8/edit?usp=sharing"",""ปัตตานี!J286"")"),0)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IFERROR(__xludf.DUMMYFUNCTION("IMPORTRANGE(""https://docs.google.com/spreadsheets/d/1IYY_tgx_IHuhSq3AJ5eI5OnqOPBNLWSHKh2a30DoXe8/edit?usp=sharing"",""ปัตตานี!J287"")"),1)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IFERROR(__xludf.DUMMYFUNCTION("IMPORTRANGE(""https://docs.google.com/spreadsheets/d/1IYY_tgx_IHuhSq3AJ5eI5OnqOPBNLWSHKh2a30DoXe8/edit?usp=sharing"",""ปัตตานี!J288"")"),1)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IFERROR(__xludf.DUMMYFUNCTION("IMPORTRANGE(""https://docs.google.com/spreadsheets/d/1IYY_tgx_IHuhSq3AJ5eI5OnqOPBNLWSHKh2a30DoXe8/edit?usp=sharing"",""ปัตตานี!J289"")"),1)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IFERROR(__xludf.DUMMYFUNCTION("IMPORTRANGE(""https://docs.google.com/spreadsheets/d/1IYY_tgx_IHuhSq3AJ5eI5OnqOPBNLWSHKh2a30DoXe8/edit?usp=sharing"",""ปัตตานี!I291"")"),5)</f>
        <v>5</v>
      </c>
      <c r="J396" s="204">
        <f ca="1">IFERROR(__xludf.DUMMYFUNCTION("IMPORTRANGE(""https://docs.google.com/spreadsheets/d/1IYY_tgx_IHuhSq3AJ5eI5OnqOPBNLWSHKh2a30DoXe8/edit?usp=sharing"",""ปัตตานี!J291"")"),5)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IFERROR(__xludf.DUMMYFUNCTION("IMPORTRANGE(""https://docs.google.com/spreadsheets/d/1IYY_tgx_IHuhSq3AJ5eI5OnqOPBNLWSHKh2a30DoXe8/edit?usp=sharing"",""ปัตตานี!I292"")"),50)</f>
        <v>50</v>
      </c>
      <c r="J397" s="204">
        <f ca="1">IFERROR(__xludf.DUMMYFUNCTION("IMPORTRANGE(""https://docs.google.com/spreadsheets/d/1IYY_tgx_IHuhSq3AJ5eI5OnqOPBNLWSHKh2a30DoXe8/edit?usp=sharing"",""ปัตตานี!J292"")"),50)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IFERROR(__xludf.DUMMYFUNCTION("IMPORTRANGE(""https://docs.google.com/spreadsheets/d/1IYY_tgx_IHuhSq3AJ5eI5OnqOPBNLWSHKh2a30DoXe8/edit?usp=sharing"",""ปัตตานี!I293"")"),5)</f>
        <v>5</v>
      </c>
      <c r="J398" s="204">
        <f ca="1">IFERROR(__xludf.DUMMYFUNCTION("IMPORTRANGE(""https://docs.google.com/spreadsheets/d/1IYY_tgx_IHuhSq3AJ5eI5OnqOPBNLWSHKh2a30DoXe8/edit?usp=sharing"",""ปัตตานี!J293"")"),5)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IFERROR(__xludf.DUMMYFUNCTION("IMPORTRANGE(""https://docs.google.com/spreadsheets/d/1IYY_tgx_IHuhSq3AJ5eI5OnqOPBNLWSHKh2a30DoXe8/edit?usp=sharing"",""ปัตตานี!J294"")"),0)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IFERROR(__xludf.DUMMYFUNCTION("IMPORTRANGE(""https://docs.google.com/spreadsheets/d/1IYY_tgx_IHuhSq3AJ5eI5OnqOPBNLWSHKh2a30DoXe8/edit?usp=sharing"",""ปัตตานี!J295"")"),0)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IFERROR(__xludf.DUMMYFUNCTION("IMPORTRANGE(""https://docs.google.com/spreadsheets/d/1IYY_tgx_IHuhSq3AJ5eI5OnqOPBNLWSHKh2a30DoXe8/edit?usp=sharing"",""ปัตตานี!L298"")"),0)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IFERROR(__xludf.DUMMYFUNCTION("IMPORTRANGE(""https://docs.google.com/spreadsheets/d/1IYY_tgx_IHuhSq3AJ5eI5OnqOPBNLWSHKh2a30DoXe8/edit?usp=sharing"",""ปัตตานี!M298"")"),0)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IFERROR(__xludf.DUMMYFUNCTION("IMPORTRANGE(""https://docs.google.com/spreadsheets/d/1IYY_tgx_IHuhSq3AJ5eI5OnqOPBNLWSHKh2a30DoXe8/edit?usp=sharing"",""ปัตตานี!M299"")"),131710)</f>
        <v>131710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IFERROR(__xludf.DUMMYFUNCTION("IMPORTRANGE(""https://docs.google.com/spreadsheets/d/1IYY_tgx_IHuhSq3AJ5eI5OnqOPBNLWSHKh2a30DoXe8/edit?usp=sharing"",""ปัตตานี!L300"")"),0)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IFERROR(__xludf.DUMMYFUNCTION("IMPORTRANGE(""https://docs.google.com/spreadsheets/d/1IYY_tgx_IHuhSq3AJ5eI5OnqOPBNLWSHKh2a30DoXe8/edit?usp=sharing"",""ปัตตานี!M300"")"),0)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IFERROR(__xludf.DUMMYFUNCTION("IMPORTRANGE(""https://docs.google.com/spreadsheets/d/1IYY_tgx_IHuhSq3AJ5eI5OnqOPBNLWSHKh2a30DoXe8/edit?usp=sharing"",""ปัตตานี!L301"")"),131710)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IFERROR(__xludf.DUMMYFUNCTION("IMPORTRANGE(""https://docs.google.com/spreadsheets/d/1IYY_tgx_IHuhSq3AJ5eI5OnqOPBNLWSHKh2a30DoXe8/edit?usp=sharing"",""ปัตตานี!M301"")"),131710)</f>
        <v>131710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IFERROR(__xludf.DUMMYFUNCTION("IMPORTRANGE(""https://docs.google.com/spreadsheets/d/1IYY_tgx_IHuhSq3AJ5eI5OnqOPBNLWSHKh2a30DoXe8/edit?usp=sharing"",""ปัตตานี!M305"")"),27360)</f>
        <v>27360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IFERROR(__xludf.DUMMYFUNCTION("IMPORTRANGE(""https://docs.google.com/spreadsheets/d/1IYY_tgx_IHuhSq3AJ5eI5OnqOPBNLWSHKh2a30DoXe8/edit?usp=sharing"",""ปัตตานี!J307"")"),0)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IFERROR(__xludf.DUMMYFUNCTION("IMPORTRANGE(""https://docs.google.com/spreadsheets/d/1IYY_tgx_IHuhSq3AJ5eI5OnqOPBNLWSHKh2a30DoXe8/edit?usp=sharing"",""ปัตตานี!J308"")"),1)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IFERROR(__xludf.DUMMYFUNCTION("IMPORTRANGE(""https://docs.google.com/spreadsheets/d/1IYY_tgx_IHuhSq3AJ5eI5OnqOPBNLWSHKh2a30DoXe8/edit?usp=sharing"",""ปัตตานี!J309"")"),1)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IFERROR(__xludf.DUMMYFUNCTION("IMPORTRANGE(""https://docs.google.com/spreadsheets/d/1IYY_tgx_IHuhSq3AJ5eI5OnqOPBNLWSHKh2a30DoXe8/edit?usp=sharing"",""ปัตตานี!J310"")"),1)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IFERROR(__xludf.DUMMYFUNCTION("IMPORTRANGE(""https://docs.google.com/spreadsheets/d/1IYY_tgx_IHuhSq3AJ5eI5OnqOPBNLWSHKh2a30DoXe8/edit?usp=sharing"",""ปัตตานี!I311"")"),35)</f>
        <v>35</v>
      </c>
      <c r="J416" s="207">
        <f ca="1">IFERROR(__xludf.DUMMYFUNCTION("IMPORTRANGE(""https://docs.google.com/spreadsheets/d/1IYY_tgx_IHuhSq3AJ5eI5OnqOPBNLWSHKh2a30DoXe8/edit?usp=sharing"",""ปัตตานี!J311"")"),35)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IFERROR(__xludf.DUMMYFUNCTION("IMPORTRANGE(""https://docs.google.com/spreadsheets/d/1IYY_tgx_IHuhSq3AJ5eI5OnqOPBNLWSHKh2a30DoXe8/edit?usp=sharing"",""ปัตตานี!J328"")"),1)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IFERROR(__xludf.DUMMYFUNCTION("IMPORTRANGE(""https://docs.google.com/spreadsheets/d/1IYY_tgx_IHuhSq3AJ5eI5OnqOPBNLWSHKh2a30DoXe8/edit?usp=sharing"",""ปัตตานี!J329"")"),1)</f>
        <v>1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IFERROR(__xludf.DUMMYFUNCTION("IMPORTRANGE(""https://docs.google.com/spreadsheets/d/1IYY_tgx_IHuhSq3AJ5eI5OnqOPBNLWSHKh2a30DoXe8/edit?usp=sharing"",""ปัตตานี!M330"")"),52076.13)</f>
        <v>52076.13</v>
      </c>
      <c r="O435" s="418">
        <f t="shared" ref="O435:O439" ca="1" si="114">+IF(L435&gt;0,N435*100/L435,0)</f>
        <v>68.521223684210526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IFERROR(__xludf.DUMMYFUNCTION("IMPORTRANGE(""https://docs.google.com/spreadsheets/d/1IYY_tgx_IHuhSq3AJ5eI5OnqOPBNLWSHKh2a30DoXe8/edit?usp=sharing"",""ปัตตานี!L331"")"),0)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IFERROR(__xludf.DUMMYFUNCTION("IMPORTRANGE(""https://docs.google.com/spreadsheets/d/1IYY_tgx_IHuhSq3AJ5eI5OnqOPBNLWSHKh2a30DoXe8/edit?usp=sharing"",""ปัตตานี!M331"")"),0)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IFERROR(__xludf.DUMMYFUNCTION("IMPORTRANGE(""https://docs.google.com/spreadsheets/d/1IYY_tgx_IHuhSq3AJ5eI5OnqOPBNLWSHKh2a30DoXe8/edit?usp=sharing"",""ปัตตานี!L332"")"),76000)</f>
        <v>76000</v>
      </c>
      <c r="M437" s="169"/>
      <c r="N437" s="175">
        <f ca="1">IFERROR(__xludf.DUMMYFUNCTION("IMPORTRANGE(""https://docs.google.com/spreadsheets/d/1IYY_tgx_IHuhSq3AJ5eI5OnqOPBNLWSHKh2a30DoXe8/edit?usp=sharing"",""ปัตตานี!M332"")"),52076.13)</f>
        <v>52076.13</v>
      </c>
      <c r="O437" s="175">
        <f t="shared" ca="1" si="114"/>
        <v>68.521223684210526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IFERROR(__xludf.DUMMYFUNCTION("IMPORTRANGE(""https://docs.google.com/spreadsheets/d/1IYY_tgx_IHuhSq3AJ5eI5OnqOPBNLWSHKh2a30DoXe8/edit?usp=sharing"",""ปัตตานี!L333"")"),0)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IFERROR(__xludf.DUMMYFUNCTION("IMPORTRANGE(""https://docs.google.com/spreadsheets/d/1IYY_tgx_IHuhSq3AJ5eI5OnqOPBNLWSHKh2a30DoXe8/edit?usp=sharing"",""ปัตตานี!M333"")"),0)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IFERROR(__xludf.DUMMYFUNCTION("IMPORTRANGE(""https://docs.google.com/spreadsheets/d/1IYY_tgx_IHuhSq3AJ5eI5OnqOPBNLWSHKh2a30DoXe8/edit?usp=sharing"",""ปัตตานี!L334"")"),76000)</f>
        <v>76000</v>
      </c>
      <c r="M439" s="175"/>
      <c r="N439" s="175">
        <f ca="1">IFERROR(__xludf.DUMMYFUNCTION("IMPORTRANGE(""https://docs.google.com/spreadsheets/d/1IYY_tgx_IHuhSq3AJ5eI5OnqOPBNLWSHKh2a30DoXe8/edit?usp=sharing"",""ปัตตานี!M334"")"),52076.13)</f>
        <v>52076.13</v>
      </c>
      <c r="O439" s="175">
        <f t="shared" ca="1" si="114"/>
        <v>68.521223684210526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IFERROR(__xludf.DUMMYFUNCTION("IMPORTRANGE(""https://docs.google.com/spreadsheets/d/1IYY_tgx_IHuhSq3AJ5eI5OnqOPBNLWSHKh2a30DoXe8/edit?usp=sharing"",""ปัตตานี!M335"")"),25200)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IFERROR(__xludf.DUMMYFUNCTION("IMPORTRANGE(""https://docs.google.com/spreadsheets/d/1IYY_tgx_IHuhSq3AJ5eI5OnqOPBNLWSHKh2a30DoXe8/edit?usp=sharing"",""ปัตตานี!M338"")"),26876.13)</f>
        <v>26876.13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IFERROR(__xludf.DUMMYFUNCTION("IMPORTRANGE(""https://docs.google.com/spreadsheets/d/1IYY_tgx_IHuhSq3AJ5eI5OnqOPBNLWSHKh2a30DoXe8/edit?usp=sharing"",""ปัตตานี!J340"")"),0)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IFERROR(__xludf.DUMMYFUNCTION("IMPORTRANGE(""https://docs.google.com/spreadsheets/d/1IYY_tgx_IHuhSq3AJ5eI5OnqOPBNLWSHKh2a30DoXe8/edit?usp=sharing"",""ปัตตานี!J341"")"),1)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IFERROR(__xludf.DUMMYFUNCTION("IMPORTRANGE(""https://docs.google.com/spreadsheets/d/1IYY_tgx_IHuhSq3AJ5eI5OnqOPBNLWSHKh2a30DoXe8/edit?usp=sharing"",""ปัตตานี!J342"")"),1)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IFERROR(__xludf.DUMMYFUNCTION("IMPORTRANGE(""https://docs.google.com/spreadsheets/d/1IYY_tgx_IHuhSq3AJ5eI5OnqOPBNLWSHKh2a30DoXe8/edit?usp=sharing"",""ปัตตานี!J343"")"),1)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7">
        <f ca="1">IFERROR(__xludf.DUMMYFUNCTION("IMPORTRANGE(""https://docs.google.com/spreadsheets/d/1IYY_tgx_IHuhSq3AJ5eI5OnqOPBNLWSHKh2a30DoXe8/edit?usp=sharing"",""ปัตตานี!J344"")"),10)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5">
        <f ca="1">IFERROR(__xludf.DUMMYFUNCTION("IMPORTRANGE(""https://docs.google.com/spreadsheets/d/1IYY_tgx_IHuhSq3AJ5eI5OnqOPBNLWSHKh2a30DoXe8/edit?usp=sharing"",""ปัตตานี!J345"")"),10)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4">
        <f ca="1">IFERROR(__xludf.DUMMYFUNCTION("IMPORTRANGE(""https://docs.google.com/spreadsheets/d/1IYY_tgx_IHuhSq3AJ5eI5OnqOPBNLWSHKh2a30DoXe8/edit?usp=sharing"",""ปัตตานี!J346"")"),0)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IFERROR(__xludf.DUMMYFUNCTION("IMPORTRANGE(""https://docs.google.com/spreadsheets/d/1IYY_tgx_IHuhSq3AJ5eI5OnqOPBNLWSHKh2a30DoXe8/edit?usp=sharing"",""ปัตตานี!I347"")"),0)</f>
        <v>0</v>
      </c>
      <c r="J452" s="194">
        <f ca="1">IFERROR(__xludf.DUMMYFUNCTION("IMPORTRANGE(""https://docs.google.com/spreadsheets/d/1IYY_tgx_IHuhSq3AJ5eI5OnqOPBNLWSHKh2a30DoXe8/edit?usp=sharing"",""ปัตตานี!J347"")"),0)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IFERROR(__xludf.DUMMYFUNCTION("IMPORTRANGE(""https://docs.google.com/spreadsheets/d/1IYY_tgx_IHuhSq3AJ5eI5OnqOPBNLWSHKh2a30DoXe8/edit?usp=sharing"",""ปัตตานี!J348"")"),0)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IFERROR(__xludf.DUMMYFUNCTION("IMPORTRANGE(""https://docs.google.com/spreadsheets/d/1IYY_tgx_IHuhSq3AJ5eI5OnqOPBNLWSHKh2a30DoXe8/edit?usp=sharing"",""ปัตตานี!J349"")"),0)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IFERROR(__xludf.DUMMYFUNCTION("IMPORTRANGE(""https://docs.google.com/spreadsheets/d/1IYY_tgx_IHuhSq3AJ5eI5OnqOPBNLWSHKh2a30DoXe8/edit?usp=sharing"",""ปัตตานี!L350"")"),53226)</f>
        <v>53226</v>
      </c>
      <c r="M455" s="379"/>
      <c r="N455" s="379">
        <f ca="1">IFERROR(__xludf.DUMMYFUNCTION("IMPORTRANGE(""https://docs.google.com/spreadsheets/d/1IYY_tgx_IHuhSq3AJ5eI5OnqOPBNLWSHKh2a30DoXe8/edit?usp=sharing"",""ปัตตานี!M350"")"),49935.82)</f>
        <v>49935.82</v>
      </c>
      <c r="O455" s="379">
        <f t="shared" ref="O455:O459" ca="1" si="116">+IF(L455&gt;0,N455*100/L455,0)</f>
        <v>93.818472175252694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IFERROR(__xludf.DUMMYFUNCTION("IMPORTRANGE(""https://docs.google.com/spreadsheets/d/1IYY_tgx_IHuhSq3AJ5eI5OnqOPBNLWSHKh2a30DoXe8/edit?usp=sharing"",""ปัตตานี!L351"")"),0)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IFERROR(__xludf.DUMMYFUNCTION("IMPORTRANGE(""https://docs.google.com/spreadsheets/d/1IYY_tgx_IHuhSq3AJ5eI5OnqOPBNLWSHKh2a30DoXe8/edit?usp=sharing"",""ปัตตานี!M351"")"),0)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5">
        <f ca="1">IFERROR(__xludf.DUMMYFUNCTION("IMPORTRANGE(""https://docs.google.com/spreadsheets/d/1IYY_tgx_IHuhSq3AJ5eI5OnqOPBNLWSHKh2a30DoXe8/edit?usp=sharing"",""ปัตตานี!M352"")"),49935.82)</f>
        <v>49935.82</v>
      </c>
      <c r="O457" s="175">
        <f t="shared" ca="1" si="116"/>
        <v>93.818472175252694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IFERROR(__xludf.DUMMYFUNCTION("IMPORTRANGE(""https://docs.google.com/spreadsheets/d/1IYY_tgx_IHuhSq3AJ5eI5OnqOPBNLWSHKh2a30DoXe8/edit?usp=sharing"",""ปัตตานี!L353"")"),0)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IFERROR(__xludf.DUMMYFUNCTION("IMPORTRANGE(""https://docs.google.com/spreadsheets/d/1IYY_tgx_IHuhSq3AJ5eI5OnqOPBNLWSHKh2a30DoXe8/edit?usp=sharing"",""ปัตตานี!M353"")"),0)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IFERROR(__xludf.DUMMYFUNCTION("IMPORTRANGE(""https://docs.google.com/spreadsheets/d/1IYY_tgx_IHuhSq3AJ5eI5OnqOPBNLWSHKh2a30DoXe8/edit?usp=sharing"",""ปัตตานี!L354"")"),53226)</f>
        <v>53226</v>
      </c>
      <c r="M459" s="175"/>
      <c r="N459" s="175">
        <f ca="1">IFERROR(__xludf.DUMMYFUNCTION("IMPORTRANGE(""https://docs.google.com/spreadsheets/d/1IYY_tgx_IHuhSq3AJ5eI5OnqOPBNLWSHKh2a30DoXe8/edit?usp=sharing"",""ปัตตานี!M354"")"),49935.82)</f>
        <v>49935.82</v>
      </c>
      <c r="O459" s="175">
        <f t="shared" ca="1" si="116"/>
        <v>93.818472175252694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IFERROR(__xludf.DUMMYFUNCTION("IMPORTRANGE(""https://docs.google.com/spreadsheets/d/1IYY_tgx_IHuhSq3AJ5eI5OnqOPBNLWSHKh2a30DoXe8/edit?usp=sharing"",""ปัตตานี!M355"")"),0)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IFERROR(__xludf.DUMMYFUNCTION("IMPORTRANGE(""https://docs.google.com/spreadsheets/d/1IYY_tgx_IHuhSq3AJ5eI5OnqOPBNLWSHKh2a30DoXe8/edit?usp=sharing"",""ปัตตานี!M356"")"),0)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IFERROR(__xludf.DUMMYFUNCTION("IMPORTRANGE(""https://docs.google.com/spreadsheets/d/1IYY_tgx_IHuhSq3AJ5eI5OnqOPBNLWSHKh2a30DoXe8/edit?usp=sharing"",""ปัตตานี!M358"")"),49935.82)</f>
        <v>49935.82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IFERROR(__xludf.DUMMYFUNCTION("IMPORTRANGE(""https://docs.google.com/spreadsheets/d/1IYY_tgx_IHuhSq3AJ5eI5OnqOPBNLWSHKh2a30DoXe8/edit?usp=sharing"",""ปัตตานี!I359"")"),2341)</f>
        <v>2341</v>
      </c>
      <c r="J464" s="273">
        <f ca="1">IFERROR(__xludf.DUMMYFUNCTION("IMPORTRANGE(""https://docs.google.com/spreadsheets/d/1IYY_tgx_IHuhSq3AJ5eI5OnqOPBNLWSHKh2a30DoXe8/edit?usp=sharing"",""ปัตตานี!J359"")"),2341.08)</f>
        <v>2341.08</v>
      </c>
      <c r="K464" s="274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8">
        <f t="shared" ca="1" si="117"/>
        <v>100.00341734301581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IFERROR(__xludf.DUMMYFUNCTION("IMPORTRANGE(""https://docs.google.com/spreadsheets/d/1IYY_tgx_IHuhSq3AJ5eI5OnqOPBNLWSHKh2a30DoXe8/edit?usp=sharing"",""ปัตตานี!I362"")"),0)</f>
        <v>0</v>
      </c>
      <c r="J467" s="195">
        <f ca="1">IFERROR(__xludf.DUMMYFUNCTION("IMPORTRANGE(""https://docs.google.com/spreadsheets/d/1IYY_tgx_IHuhSq3AJ5eI5OnqOPBNLWSHKh2a30DoXe8/edit?usp=sharing"",""ปัตตานี!J362"")"),2216.29)</f>
        <v>2216.29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IFERROR(__xludf.DUMMYFUNCTION("IMPORTRANGE(""https://docs.google.com/spreadsheets/d/1IYY_tgx_IHuhSq3AJ5eI5OnqOPBNLWSHKh2a30DoXe8/edit?usp=sharing"",""ปัตตานี!I363"")"),0)</f>
        <v>0</v>
      </c>
      <c r="J468" s="195">
        <f ca="1">IFERROR(__xludf.DUMMYFUNCTION("IMPORTRANGE(""https://docs.google.com/spreadsheets/d/1IYY_tgx_IHuhSq3AJ5eI5OnqOPBNLWSHKh2a30DoXe8/edit?usp=sharing"",""ปัตตานี!J363"")"),379)</f>
        <v>379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IFERROR(__xludf.DUMMYFUNCTION("IMPORTRANGE(""https://docs.google.com/spreadsheets/d/1IYY_tgx_IHuhSq3AJ5eI5OnqOPBNLWSHKh2a30DoXe8/edit?usp=sharing"",""ปัตตานี!I364"")"),0)</f>
        <v>0</v>
      </c>
      <c r="J469" s="195">
        <f ca="1">IFERROR(__xludf.DUMMYFUNCTION("IMPORTRANGE(""https://docs.google.com/spreadsheets/d/1IYY_tgx_IHuhSq3AJ5eI5OnqOPBNLWSHKh2a30DoXe8/edit?usp=sharing"",""ปัตตานี!J364"")"),10.37)</f>
        <v>10.37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IFERROR(__xludf.DUMMYFUNCTION("IMPORTRANGE(""https://docs.google.com/spreadsheets/d/1IYY_tgx_IHuhSq3AJ5eI5OnqOPBNLWSHKh2a30DoXe8/edit?usp=sharing"",""ปัตตานี!I365"")"),0)</f>
        <v>0</v>
      </c>
      <c r="J470" s="195">
        <f ca="1">IFERROR(__xludf.DUMMYFUNCTION("IMPORTRANGE(""https://docs.google.com/spreadsheets/d/1IYY_tgx_IHuhSq3AJ5eI5OnqOPBNLWSHKh2a30DoXe8/edit?usp=sharing"",""ปัตตานี!J365"")"),2)</f>
        <v>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IFERROR(__xludf.DUMMYFUNCTION("IMPORTRANGE(""https://docs.google.com/spreadsheets/d/1IYY_tgx_IHuhSq3AJ5eI5OnqOPBNLWSHKh2a30DoXe8/edit?usp=sharing"",""ปัตตานี!I366"")"),0)</f>
        <v>0</v>
      </c>
      <c r="J471" s="195">
        <f ca="1">IFERROR(__xludf.DUMMYFUNCTION("IMPORTRANGE(""https://docs.google.com/spreadsheets/d/1IYY_tgx_IHuhSq3AJ5eI5OnqOPBNLWSHKh2a30DoXe8/edit?usp=sharing"",""ปัตตานี!J366"")"),114.42)</f>
        <v>114.42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IFERROR(__xludf.DUMMYFUNCTION("IMPORTRANGE(""https://docs.google.com/spreadsheets/d/1IYY_tgx_IHuhSq3AJ5eI5OnqOPBNLWSHKh2a30DoXe8/edit?usp=sharing"",""ปัตตานี!I367"")"),0)</f>
        <v>0</v>
      </c>
      <c r="J472" s="195">
        <f ca="1">IFERROR(__xludf.DUMMYFUNCTION("IMPORTRANGE(""https://docs.google.com/spreadsheets/d/1IYY_tgx_IHuhSq3AJ5eI5OnqOPBNLWSHKh2a30DoXe8/edit?usp=sharing"",""ปัตตานี!J367"")"),15)</f>
        <v>15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8">
        <f t="shared" ca="1" si="117"/>
        <v>100.00341734301581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IFERROR(__xludf.DUMMYFUNCTION("IMPORTRANGE(""https://docs.google.com/spreadsheets/d/1IYY_tgx_IHuhSq3AJ5eI5OnqOPBNLWSHKh2a30DoXe8/edit?usp=sharing"",""ปัตตานี!I370"")"),0)</f>
        <v>0</v>
      </c>
      <c r="J475" s="195">
        <f ca="1">IFERROR(__xludf.DUMMYFUNCTION("IMPORTRANGE(""https://docs.google.com/spreadsheets/d/1IYY_tgx_IHuhSq3AJ5eI5OnqOPBNLWSHKh2a30DoXe8/edit?usp=sharing"",""ปัตตานี!J370"")"),2226.66)</f>
        <v>2226.66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IFERROR(__xludf.DUMMYFUNCTION("IMPORTRANGE(""https://docs.google.com/spreadsheets/d/1IYY_tgx_IHuhSq3AJ5eI5OnqOPBNLWSHKh2a30DoXe8/edit?usp=sharing"",""ปัตตานี!I371"")"),0)</f>
        <v>0</v>
      </c>
      <c r="J476" s="195">
        <f ca="1">IFERROR(__xludf.DUMMYFUNCTION("IMPORTRANGE(""https://docs.google.com/spreadsheets/d/1IYY_tgx_IHuhSq3AJ5eI5OnqOPBNLWSHKh2a30DoXe8/edit?usp=sharing"",""ปัตตานี!J371"")"),381)</f>
        <v>381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IFERROR(__xludf.DUMMYFUNCTION("IMPORTRANGE(""https://docs.google.com/spreadsheets/d/1IYY_tgx_IHuhSq3AJ5eI5OnqOPBNLWSHKh2a30DoXe8/edit?usp=sharing"",""ปัตตานี!I372"")"),0)</f>
        <v>0</v>
      </c>
      <c r="J477" s="195">
        <f ca="1">IFERROR(__xludf.DUMMYFUNCTION("IMPORTRANGE(""https://docs.google.com/spreadsheets/d/1IYY_tgx_IHuhSq3AJ5eI5OnqOPBNLWSHKh2a30DoXe8/edit?usp=sharing"",""ปัตตานี!J372"")"),0)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IFERROR(__xludf.DUMMYFUNCTION("IMPORTRANGE(""https://docs.google.com/spreadsheets/d/1IYY_tgx_IHuhSq3AJ5eI5OnqOPBNLWSHKh2a30DoXe8/edit?usp=sharing"",""ปัตตานี!I373"")"),0)</f>
        <v>0</v>
      </c>
      <c r="J478" s="195">
        <f ca="1">IFERROR(__xludf.DUMMYFUNCTION("IMPORTRANGE(""https://docs.google.com/spreadsheets/d/1IYY_tgx_IHuhSq3AJ5eI5OnqOPBNLWSHKh2a30DoXe8/edit?usp=sharing"",""ปัตตานี!J373"")"),0)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IFERROR(__xludf.DUMMYFUNCTION("IMPORTRANGE(""https://docs.google.com/spreadsheets/d/1IYY_tgx_IHuhSq3AJ5eI5OnqOPBNLWSHKh2a30DoXe8/edit?usp=sharing"",""ปัตตานี!I374"")"),0)</f>
        <v>0</v>
      </c>
      <c r="J479" s="195">
        <f ca="1">IFERROR(__xludf.DUMMYFUNCTION("IMPORTRANGE(""https://docs.google.com/spreadsheets/d/1IYY_tgx_IHuhSq3AJ5eI5OnqOPBNLWSHKh2a30DoXe8/edit?usp=sharing"",""ปัตตานี!J374"")"),114.42)</f>
        <v>114.42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IFERROR(__xludf.DUMMYFUNCTION("IMPORTRANGE(""https://docs.google.com/spreadsheets/d/1IYY_tgx_IHuhSq3AJ5eI5OnqOPBNLWSHKh2a30DoXe8/edit?usp=sharing"",""ปัตตานี!I375"")"),0)</f>
        <v>0</v>
      </c>
      <c r="J480" s="195">
        <f ca="1">IFERROR(__xludf.DUMMYFUNCTION("IMPORTRANGE(""https://docs.google.com/spreadsheets/d/1IYY_tgx_IHuhSq3AJ5eI5OnqOPBNLWSHKh2a30DoXe8/edit?usp=sharing"",""ปัตตานี!J375"")"),15)</f>
        <v>15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8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IFERROR(__xludf.DUMMYFUNCTION("IMPORTRANGE(""https://docs.google.com/spreadsheets/d/1IYY_tgx_IHuhSq3AJ5eI5OnqOPBNLWSHKh2a30DoXe8/edit?usp=sharing"",""ปัตตานี!I378"")"),0)</f>
        <v>0</v>
      </c>
      <c r="J483" s="195">
        <f ca="1">IFERROR(__xludf.DUMMYFUNCTION("IMPORTRANGE(""https://docs.google.com/spreadsheets/d/1IYY_tgx_IHuhSq3AJ5eI5OnqOPBNLWSHKh2a30DoXe8/edit?usp=sharing"",""ปัตตานี!J378"")"),2226.66)</f>
        <v>2226.66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IFERROR(__xludf.DUMMYFUNCTION("IMPORTRANGE(""https://docs.google.com/spreadsheets/d/1IYY_tgx_IHuhSq3AJ5eI5OnqOPBNLWSHKh2a30DoXe8/edit?usp=sharing"",""ปัตตานี!I379"")"),0)</f>
        <v>0</v>
      </c>
      <c r="J484" s="195">
        <f ca="1">IFERROR(__xludf.DUMMYFUNCTION("IMPORTRANGE(""https://docs.google.com/spreadsheets/d/1IYY_tgx_IHuhSq3AJ5eI5OnqOPBNLWSHKh2a30DoXe8/edit?usp=sharing"",""ปัตตานี!J379"")"),381)</f>
        <v>381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IFERROR(__xludf.DUMMYFUNCTION("IMPORTRANGE(""https://docs.google.com/spreadsheets/d/1IYY_tgx_IHuhSq3AJ5eI5OnqOPBNLWSHKh2a30DoXe8/edit?usp=sharing"",""ปัตตานี!I380"")"),0)</f>
        <v>0</v>
      </c>
      <c r="J485" s="195">
        <f ca="1">IFERROR(__xludf.DUMMYFUNCTION("IMPORTRANGE(""https://docs.google.com/spreadsheets/d/1IYY_tgx_IHuhSq3AJ5eI5OnqOPBNLWSHKh2a30DoXe8/edit?usp=sharing"",""ปัตตานี!J380"")"),0)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IFERROR(__xludf.DUMMYFUNCTION("IMPORTRANGE(""https://docs.google.com/spreadsheets/d/1IYY_tgx_IHuhSq3AJ5eI5OnqOPBNLWSHKh2a30DoXe8/edit?usp=sharing"",""ปัตตานี!I381"")"),0)</f>
        <v>0</v>
      </c>
      <c r="J486" s="195">
        <f ca="1">IFERROR(__xludf.DUMMYFUNCTION("IMPORTRANGE(""https://docs.google.com/spreadsheets/d/1IYY_tgx_IHuhSq3AJ5eI5OnqOPBNLWSHKh2a30DoXe8/edit?usp=sharing"",""ปัตตานี!J381"")"),0)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IFERROR(__xludf.DUMMYFUNCTION("IMPORTRANGE(""https://docs.google.com/spreadsheets/d/1IYY_tgx_IHuhSq3AJ5eI5OnqOPBNLWSHKh2a30DoXe8/edit?usp=sharing"",""ปัตตานี!I384"")"),0)</f>
        <v>0</v>
      </c>
      <c r="J489" s="195">
        <f ca="1">IFERROR(__xludf.DUMMYFUNCTION("IMPORTRANGE(""https://docs.google.com/spreadsheets/d/1IYY_tgx_IHuhSq3AJ5eI5OnqOPBNLWSHKh2a30DoXe8/edit?usp=sharing"",""ปัตตานี!J384"")"),114.42)</f>
        <v>114.42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IFERROR(__xludf.DUMMYFUNCTION("IMPORTRANGE(""https://docs.google.com/spreadsheets/d/1IYY_tgx_IHuhSq3AJ5eI5OnqOPBNLWSHKh2a30DoXe8/edit?usp=sharing"",""ปัตตานี!I385"")"),0)</f>
        <v>0</v>
      </c>
      <c r="J490" s="195">
        <f ca="1">IFERROR(__xludf.DUMMYFUNCTION("IMPORTRANGE(""https://docs.google.com/spreadsheets/d/1IYY_tgx_IHuhSq3AJ5eI5OnqOPBNLWSHKh2a30DoXe8/edit?usp=sharing"",""ปัตตานี!J385"")"),15)</f>
        <v>15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IFERROR(__xludf.DUMMYFUNCTION("IMPORTRANGE(""https://docs.google.com/spreadsheets/d/1IYY_tgx_IHuhSq3AJ5eI5OnqOPBNLWSHKh2a30DoXe8/edit?usp=sharing"",""ปัตตานี!I386"")"),0)</f>
        <v>0</v>
      </c>
      <c r="J491" s="195">
        <f ca="1">IFERROR(__xludf.DUMMYFUNCTION("IMPORTRANGE(""https://docs.google.com/spreadsheets/d/1IYY_tgx_IHuhSq3AJ5eI5OnqOPBNLWSHKh2a30DoXe8/edit?usp=sharing"",""ปัตตานี!J386"")"),0)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IFERROR(__xludf.DUMMYFUNCTION("IMPORTRANGE(""https://docs.google.com/spreadsheets/d/1IYY_tgx_IHuhSq3AJ5eI5OnqOPBNLWSHKh2a30DoXe8/edit?usp=sharing"",""ปัตตานี!I387"")"),0)</f>
        <v>0</v>
      </c>
      <c r="J492" s="195">
        <f ca="1">IFERROR(__xludf.DUMMYFUNCTION("IMPORTRANGE(""https://docs.google.com/spreadsheets/d/1IYY_tgx_IHuhSq3AJ5eI5OnqOPBNLWSHKh2a30DoXe8/edit?usp=sharing"",""ปัตตานี!J387"")"),0)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IFERROR(__xludf.DUMMYFUNCTION("IMPORTRANGE(""https://docs.google.com/spreadsheets/d/1IYY_tgx_IHuhSq3AJ5eI5OnqOPBNLWSHKh2a30DoXe8/edit?usp=sharing"",""ปัตตานี!I388"")"),0)</f>
        <v>0</v>
      </c>
      <c r="J493" s="195">
        <f ca="1">IFERROR(__xludf.DUMMYFUNCTION("IMPORTRANGE(""https://docs.google.com/spreadsheets/d/1IYY_tgx_IHuhSq3AJ5eI5OnqOPBNLWSHKh2a30DoXe8/edit?usp=sharing"",""ปัตตานี!J388"")"),0)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IFERROR(__xludf.DUMMYFUNCTION("IMPORTRANGE(""https://docs.google.com/spreadsheets/d/1IYY_tgx_IHuhSq3AJ5eI5OnqOPBNLWSHKh2a30DoXe8/edit?usp=sharing"",""ปัตตานี!I395"")"),0)</f>
        <v>0</v>
      </c>
      <c r="J500" s="166">
        <f ca="1">IFERROR(__xludf.DUMMYFUNCTION("IMPORTRANGE(""https://docs.google.com/spreadsheets/d/1IYY_tgx_IHuhSq3AJ5eI5OnqOPBNLWSHKh2a30DoXe8/edit?usp=sharing"",""ปัตตานี!J395"")"),0)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IFERROR(__xludf.DUMMYFUNCTION("IMPORTRANGE(""https://docs.google.com/spreadsheets/d/1IYY_tgx_IHuhSq3AJ5eI5OnqOPBNLWSHKh2a30DoXe8/edit?usp=sharing"",""ปัตตานี!I396"")"),0)</f>
        <v>0</v>
      </c>
      <c r="J501" s="166">
        <f ca="1">IFERROR(__xludf.DUMMYFUNCTION("IMPORTRANGE(""https://docs.google.com/spreadsheets/d/1IYY_tgx_IHuhSq3AJ5eI5OnqOPBNLWSHKh2a30DoXe8/edit?usp=sharing"",""ปัตตานี!J396"")"),0)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IFERROR(__xludf.DUMMYFUNCTION("IMPORTRANGE(""https://docs.google.com/spreadsheets/d/1IYY_tgx_IHuhSq3AJ5eI5OnqOPBNLWSHKh2a30DoXe8/edit?usp=sharing"",""ปัตตานี!I397"")"),0)</f>
        <v>0</v>
      </c>
      <c r="J502" s="195">
        <f ca="1">IFERROR(__xludf.DUMMYFUNCTION("IMPORTRANGE(""https://docs.google.com/spreadsheets/d/1IYY_tgx_IHuhSq3AJ5eI5OnqOPBNLWSHKh2a30DoXe8/edit?usp=sharing"",""ปัตตานี!J397"")"),0)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IFERROR(__xludf.DUMMYFUNCTION("IMPORTRANGE(""https://docs.google.com/spreadsheets/d/1IYY_tgx_IHuhSq3AJ5eI5OnqOPBNLWSHKh2a30DoXe8/edit?usp=sharing"",""ปัตตานี!I398"")"),0)</f>
        <v>0</v>
      </c>
      <c r="J503" s="204">
        <f ca="1">IFERROR(__xludf.DUMMYFUNCTION("IMPORTRANGE(""https://docs.google.com/spreadsheets/d/1IYY_tgx_IHuhSq3AJ5eI5OnqOPBNLWSHKh2a30DoXe8/edit?usp=sharing"",""ปัตตานี!J398"")"),0)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IFERROR(__xludf.DUMMYFUNCTION("IMPORTRANGE(""https://docs.google.com/spreadsheets/d/1IYY_tgx_IHuhSq3AJ5eI5OnqOPBNLWSHKh2a30DoXe8/edit?usp=sharing"",""ปัตตานี!I399"")"),0)</f>
        <v>0</v>
      </c>
      <c r="J504" s="195">
        <f ca="1">IFERROR(__xludf.DUMMYFUNCTION("IMPORTRANGE(""https://docs.google.com/spreadsheets/d/1IYY_tgx_IHuhSq3AJ5eI5OnqOPBNLWSHKh2a30DoXe8/edit?usp=sharing"",""ปัตตานี!J399"")"),0)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IFERROR(__xludf.DUMMYFUNCTION("IMPORTRANGE(""https://docs.google.com/spreadsheets/d/1IYY_tgx_IHuhSq3AJ5eI5OnqOPBNLWSHKh2a30DoXe8/edit?usp=sharing"",""ปัตตานี!I400"")"),0)</f>
        <v>0</v>
      </c>
      <c r="J505" s="204">
        <f ca="1">IFERROR(__xludf.DUMMYFUNCTION("IMPORTRANGE(""https://docs.google.com/spreadsheets/d/1IYY_tgx_IHuhSq3AJ5eI5OnqOPBNLWSHKh2a30DoXe8/edit?usp=sharing"",""ปัตตานี!J400"")"),0)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IFERROR(__xludf.DUMMYFUNCTION("IMPORTRANGE(""https://docs.google.com/spreadsheets/d/1IYY_tgx_IHuhSq3AJ5eI5OnqOPBNLWSHKh2a30DoXe8/edit?usp=sharing"",""ปัตตานี!I401"")"),0)</f>
        <v>0</v>
      </c>
      <c r="J506" s="195">
        <f ca="1">IFERROR(__xludf.DUMMYFUNCTION("IMPORTRANGE(""https://docs.google.com/spreadsheets/d/1IYY_tgx_IHuhSq3AJ5eI5OnqOPBNLWSHKh2a30DoXe8/edit?usp=sharing"",""ปัตตานี!J401"")"),0)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IFERROR(__xludf.DUMMYFUNCTION("IMPORTRANGE(""https://docs.google.com/spreadsheets/d/1IYY_tgx_IHuhSq3AJ5eI5OnqOPBNLWSHKh2a30DoXe8/edit?usp=sharing"",""ปัตตานี!I402"")"),0)</f>
        <v>0</v>
      </c>
      <c r="J507" s="204">
        <f ca="1">IFERROR(__xludf.DUMMYFUNCTION("IMPORTRANGE(""https://docs.google.com/spreadsheets/d/1IYY_tgx_IHuhSq3AJ5eI5OnqOPBNLWSHKh2a30DoXe8/edit?usp=sharing"",""ปัตตานี!J402"")"),0)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IFERROR(__xludf.DUMMYFUNCTION("IMPORTRANGE(""https://docs.google.com/spreadsheets/d/1IYY_tgx_IHuhSq3AJ5eI5OnqOPBNLWSHKh2a30DoXe8/edit?usp=sharing"",""ปัตตานี!I403"")"),0)</f>
        <v>0</v>
      </c>
      <c r="J508" s="166">
        <f ca="1">IFERROR(__xludf.DUMMYFUNCTION("IMPORTRANGE(""https://docs.google.com/spreadsheets/d/1IYY_tgx_IHuhSq3AJ5eI5OnqOPBNLWSHKh2a30DoXe8/edit?usp=sharing"",""ปัตตานี!J403"")"),0)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IFERROR(__xludf.DUMMYFUNCTION("IMPORTRANGE(""https://docs.google.com/spreadsheets/d/1IYY_tgx_IHuhSq3AJ5eI5OnqOPBNLWSHKh2a30DoXe8/edit?usp=sharing"",""ปัตตานี!I404"")"),0)</f>
        <v>0</v>
      </c>
      <c r="J509" s="166">
        <f ca="1">IFERROR(__xludf.DUMMYFUNCTION("IMPORTRANGE(""https://docs.google.com/spreadsheets/d/1IYY_tgx_IHuhSq3AJ5eI5OnqOPBNLWSHKh2a30DoXe8/edit?usp=sharing"",""ปัตตานี!J404"")"),0)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IFERROR(__xludf.DUMMYFUNCTION("IMPORTRANGE(""https://docs.google.com/spreadsheets/d/1IYY_tgx_IHuhSq3AJ5eI5OnqOPBNLWSHKh2a30DoXe8/edit?usp=sharing"",""ปัตตานี!I405"")"),0)</f>
        <v>0</v>
      </c>
      <c r="J510" s="204">
        <f ca="1">IFERROR(__xludf.DUMMYFUNCTION("IMPORTRANGE(""https://docs.google.com/spreadsheets/d/1IYY_tgx_IHuhSq3AJ5eI5OnqOPBNLWSHKh2a30DoXe8/edit?usp=sharing"",""ปัตตานี!J405"")"),0)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IFERROR(__xludf.DUMMYFUNCTION("IMPORTRANGE(""https://docs.google.com/spreadsheets/d/1IYY_tgx_IHuhSq3AJ5eI5OnqOPBNLWSHKh2a30DoXe8/edit?usp=sharing"",""ปัตตานี!I406"")"),0)</f>
        <v>0</v>
      </c>
      <c r="J511" s="204">
        <f ca="1">IFERROR(__xludf.DUMMYFUNCTION("IMPORTRANGE(""https://docs.google.com/spreadsheets/d/1IYY_tgx_IHuhSq3AJ5eI5OnqOPBNLWSHKh2a30DoXe8/edit?usp=sharing"",""ปัตตานี!J406"")"),0)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IFERROR(__xludf.DUMMYFUNCTION("IMPORTRANGE(""https://docs.google.com/spreadsheets/d/1IYY_tgx_IHuhSq3AJ5eI5OnqOPBNLWSHKh2a30DoXe8/edit?usp=sharing"",""ปัตตานี!I407"")"),0)</f>
        <v>0</v>
      </c>
      <c r="J512" s="204">
        <f ca="1">IFERROR(__xludf.DUMMYFUNCTION("IMPORTRANGE(""https://docs.google.com/spreadsheets/d/1IYY_tgx_IHuhSq3AJ5eI5OnqOPBNLWSHKh2a30DoXe8/edit?usp=sharing"",""ปัตตานี!J407"")"),0)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IFERROR(__xludf.DUMMYFUNCTION("IMPORTRANGE(""https://docs.google.com/spreadsheets/d/1IYY_tgx_IHuhSq3AJ5eI5OnqOPBNLWSHKh2a30DoXe8/edit?usp=sharing"",""ปัตตานี!I408"")"),0)</f>
        <v>0</v>
      </c>
      <c r="J513" s="204">
        <f ca="1">IFERROR(__xludf.DUMMYFUNCTION("IMPORTRANGE(""https://docs.google.com/spreadsheets/d/1IYY_tgx_IHuhSq3AJ5eI5OnqOPBNLWSHKh2a30DoXe8/edit?usp=sharing"",""ปัตตานี!J408"")"),0)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IFERROR(__xludf.DUMMYFUNCTION("IMPORTRANGE(""https://docs.google.com/spreadsheets/d/1IYY_tgx_IHuhSq3AJ5eI5OnqOPBNLWSHKh2a30DoXe8/edit?usp=sharing"",""ปัตตานี!I409"")"),0)</f>
        <v>0</v>
      </c>
      <c r="J514" s="204">
        <f ca="1">IFERROR(__xludf.DUMMYFUNCTION("IMPORTRANGE(""https://docs.google.com/spreadsheets/d/1IYY_tgx_IHuhSq3AJ5eI5OnqOPBNLWSHKh2a30DoXe8/edit?usp=sharing"",""ปัตตานี!J409"")"),0)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IFERROR(__xludf.DUMMYFUNCTION("IMPORTRANGE(""https://docs.google.com/spreadsheets/d/1IYY_tgx_IHuhSq3AJ5eI5OnqOPBNLWSHKh2a30DoXe8/edit?usp=sharing"",""ปัตตานี!I410"")"),0)</f>
        <v>0</v>
      </c>
      <c r="J515" s="204">
        <f ca="1">IFERROR(__xludf.DUMMYFUNCTION("IMPORTRANGE(""https://docs.google.com/spreadsheets/d/1IYY_tgx_IHuhSq3AJ5eI5OnqOPBNLWSHKh2a30DoXe8/edit?usp=sharing"",""ปัตตานี!J410"")"),0)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IFERROR(__xludf.DUMMYFUNCTION("IMPORTRANGE(""https://docs.google.com/spreadsheets/d/1IYY_tgx_IHuhSq3AJ5eI5OnqOPBNLWSHKh2a30DoXe8/edit?usp=sharing"",""ปัตตานี!I411"")"),0)</f>
        <v>0</v>
      </c>
      <c r="J516" s="273">
        <f ca="1">IFERROR(__xludf.DUMMYFUNCTION("IMPORTRANGE(""https://docs.google.com/spreadsheets/d/1IYY_tgx_IHuhSq3AJ5eI5OnqOPBNLWSHKh2a30DoXe8/edit?usp=sharing"",""ปัตตานี!J411"")"),0)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IFERROR(__xludf.DUMMYFUNCTION("IMPORTRANGE(""https://docs.google.com/spreadsheets/d/1IYY_tgx_IHuhSq3AJ5eI5OnqOPBNLWSHKh2a30DoXe8/edit?usp=sharing"",""ปัตตานี!I414"")"),0)</f>
        <v>0</v>
      </c>
      <c r="J519" s="194">
        <f ca="1">IFERROR(__xludf.DUMMYFUNCTION("IMPORTRANGE(""https://docs.google.com/spreadsheets/d/1IYY_tgx_IHuhSq3AJ5eI5OnqOPBNLWSHKh2a30DoXe8/edit?usp=sharing"",""ปัตตานี!J414"")"),0)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IFERROR(__xludf.DUMMYFUNCTION("IMPORTRANGE(""https://docs.google.com/spreadsheets/d/1IYY_tgx_IHuhSq3AJ5eI5OnqOPBNLWSHKh2a30DoXe8/edit?usp=sharing"",""ปัตตานี!I415"")"),0)</f>
        <v>0</v>
      </c>
      <c r="J520" s="194">
        <f ca="1">IFERROR(__xludf.DUMMYFUNCTION("IMPORTRANGE(""https://docs.google.com/spreadsheets/d/1IYY_tgx_IHuhSq3AJ5eI5OnqOPBNLWSHKh2a30DoXe8/edit?usp=sharing"",""ปัตตานี!J415"")"),0)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IFERROR(__xludf.DUMMYFUNCTION("IMPORTRANGE(""https://docs.google.com/spreadsheets/d/1IYY_tgx_IHuhSq3AJ5eI5OnqOPBNLWSHKh2a30DoXe8/edit?usp=sharing"",""ปัตตานี!I416"")"),0)</f>
        <v>0</v>
      </c>
      <c r="J521" s="194">
        <f ca="1">IFERROR(__xludf.DUMMYFUNCTION("IMPORTRANGE(""https://docs.google.com/spreadsheets/d/1IYY_tgx_IHuhSq3AJ5eI5OnqOPBNLWSHKh2a30DoXe8/edit?usp=sharing"",""ปัตตานี!J416"")"),0)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IFERROR(__xludf.DUMMYFUNCTION("IMPORTRANGE(""https://docs.google.com/spreadsheets/d/1IYY_tgx_IHuhSq3AJ5eI5OnqOPBNLWSHKh2a30DoXe8/edit?usp=sharing"",""ปัตตานี!I417"")"),0)</f>
        <v>0</v>
      </c>
      <c r="J522" s="194">
        <f ca="1">IFERROR(__xludf.DUMMYFUNCTION("IMPORTRANGE(""https://docs.google.com/spreadsheets/d/1IYY_tgx_IHuhSq3AJ5eI5OnqOPBNLWSHKh2a30DoXe8/edit?usp=sharing"",""ปัตตานี!J417"")"),0)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IFERROR(__xludf.DUMMYFUNCTION("IMPORTRANGE(""https://docs.google.com/spreadsheets/d/1IYY_tgx_IHuhSq3AJ5eI5OnqOPBNLWSHKh2a30DoXe8/edit?usp=sharing"",""ปัตตานี!I418"")"),0)</f>
        <v>0</v>
      </c>
      <c r="J523" s="194">
        <f ca="1">IFERROR(__xludf.DUMMYFUNCTION("IMPORTRANGE(""https://docs.google.com/spreadsheets/d/1IYY_tgx_IHuhSq3AJ5eI5OnqOPBNLWSHKh2a30DoXe8/edit?usp=sharing"",""ปัตตานี!J418"")"),0)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IFERROR(__xludf.DUMMYFUNCTION("IMPORTRANGE(""https://docs.google.com/spreadsheets/d/1IYY_tgx_IHuhSq3AJ5eI5OnqOPBNLWSHKh2a30DoXe8/edit?usp=sharing"",""ปัตตานี!I419"")"),0)</f>
        <v>0</v>
      </c>
      <c r="J524" s="194">
        <f ca="1">IFERROR(__xludf.DUMMYFUNCTION("IMPORTRANGE(""https://docs.google.com/spreadsheets/d/1IYY_tgx_IHuhSq3AJ5eI5OnqOPBNLWSHKh2a30DoXe8/edit?usp=sharing"",""ปัตตานี!J419"")"),0)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IFERROR(__xludf.DUMMYFUNCTION("IMPORTRANGE(""https://docs.google.com/spreadsheets/d/1IYY_tgx_IHuhSq3AJ5eI5OnqOPBNLWSHKh2a30DoXe8/edit?usp=sharing"",""ปัตตานี!I422"")"),0)</f>
        <v>0</v>
      </c>
      <c r="J527" s="204">
        <f ca="1">IFERROR(__xludf.DUMMYFUNCTION("IMPORTRANGE(""https://docs.google.com/spreadsheets/d/1IYY_tgx_IHuhSq3AJ5eI5OnqOPBNLWSHKh2a30DoXe8/edit?usp=sharing"",""ปัตตานี!J422"")"),0)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IFERROR(__xludf.DUMMYFUNCTION("IMPORTRANGE(""https://docs.google.com/spreadsheets/d/1IYY_tgx_IHuhSq3AJ5eI5OnqOPBNLWSHKh2a30DoXe8/edit?usp=sharing"",""ปัตตานี!I423"")"),0)</f>
        <v>0</v>
      </c>
      <c r="J528" s="204">
        <f ca="1">IFERROR(__xludf.DUMMYFUNCTION("IMPORTRANGE(""https://docs.google.com/spreadsheets/d/1IYY_tgx_IHuhSq3AJ5eI5OnqOPBNLWSHKh2a30DoXe8/edit?usp=sharing"",""ปัตตานี!J423"")"),0)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IFERROR(__xludf.DUMMYFUNCTION("IMPORTRANGE(""https://docs.google.com/spreadsheets/d/1IYY_tgx_IHuhSq3AJ5eI5OnqOPBNLWSHKh2a30DoXe8/edit?usp=sharing"",""ปัตตานี!I424"")"),0)</f>
        <v>0</v>
      </c>
      <c r="J529" s="204">
        <f ca="1">IFERROR(__xludf.DUMMYFUNCTION("IMPORTRANGE(""https://docs.google.com/spreadsheets/d/1IYY_tgx_IHuhSq3AJ5eI5OnqOPBNLWSHKh2a30DoXe8/edit?usp=sharing"",""ปัตตานี!J424"")"),0)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IFERROR(__xludf.DUMMYFUNCTION("IMPORTRANGE(""https://docs.google.com/spreadsheets/d/1IYY_tgx_IHuhSq3AJ5eI5OnqOPBNLWSHKh2a30DoXe8/edit?usp=sharing"",""ปัตตานี!I425"")"),0)</f>
        <v>0</v>
      </c>
      <c r="J530" s="204">
        <f ca="1">IFERROR(__xludf.DUMMYFUNCTION("IMPORTRANGE(""https://docs.google.com/spreadsheets/d/1IYY_tgx_IHuhSq3AJ5eI5OnqOPBNLWSHKh2a30DoXe8/edit?usp=sharing"",""ปัตตานี!J425"")"),0)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IFERROR(__xludf.DUMMYFUNCTION("IMPORTRANGE(""https://docs.google.com/spreadsheets/d/1IYY_tgx_IHuhSq3AJ5eI5OnqOPBNLWSHKh2a30DoXe8/edit?usp=sharing"",""ปัตตานี!I426"")"),0)</f>
        <v>0</v>
      </c>
      <c r="J531" s="204">
        <f ca="1">IFERROR(__xludf.DUMMYFUNCTION("IMPORTRANGE(""https://docs.google.com/spreadsheets/d/1IYY_tgx_IHuhSq3AJ5eI5OnqOPBNLWSHKh2a30DoXe8/edit?usp=sharing"",""ปัตตานี!J426"")"),0)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IFERROR(__xludf.DUMMYFUNCTION("IMPORTRANGE(""https://docs.google.com/spreadsheets/d/1IYY_tgx_IHuhSq3AJ5eI5OnqOPBNLWSHKh2a30DoXe8/edit?usp=sharing"",""ปัตตานี!M428"")"),30349.2)</f>
        <v>30349.200000000001</v>
      </c>
      <c r="O533" s="418">
        <f t="shared" ref="O533:O537" ca="1" si="118">+IF(L533&gt;0,N533*100/L533,0)</f>
        <v>92.981617647058826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IFERROR(__xludf.DUMMYFUNCTION("IMPORTRANGE(""https://docs.google.com/spreadsheets/d/1IYY_tgx_IHuhSq3AJ5eI5OnqOPBNLWSHKh2a30DoXe8/edit?usp=sharing"",""ปัตตานี!L429"")"),0)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IFERROR(__xludf.DUMMYFUNCTION("IMPORTRANGE(""https://docs.google.com/spreadsheets/d/1IYY_tgx_IHuhSq3AJ5eI5OnqOPBNLWSHKh2a30DoXe8/edit?usp=sharing"",""ปัตตานี!M429"")"),0)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5">
        <f ca="1">IFERROR(__xludf.DUMMYFUNCTION("IMPORTRANGE(""https://docs.google.com/spreadsheets/d/1IYY_tgx_IHuhSq3AJ5eI5OnqOPBNLWSHKh2a30DoXe8/edit?usp=sharing"",""ปัตตานี!M430"")"),30349.2)</f>
        <v>30349.200000000001</v>
      </c>
      <c r="O535" s="175">
        <f t="shared" ca="1" si="118"/>
        <v>92.981617647058826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IFERROR(__xludf.DUMMYFUNCTION("IMPORTRANGE(""https://docs.google.com/spreadsheets/d/1IYY_tgx_IHuhSq3AJ5eI5OnqOPBNLWSHKh2a30DoXe8/edit?usp=sharing"",""ปัตตานี!L431"")"),0)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IFERROR(__xludf.DUMMYFUNCTION("IMPORTRANGE(""https://docs.google.com/spreadsheets/d/1IYY_tgx_IHuhSq3AJ5eI5OnqOPBNLWSHKh2a30DoXe8/edit?usp=sharing"",""ปัตตานี!M431"")"),0)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IFERROR(__xludf.DUMMYFUNCTION("IMPORTRANGE(""https://docs.google.com/spreadsheets/d/1IYY_tgx_IHuhSq3AJ5eI5OnqOPBNLWSHKh2a30DoXe8/edit?usp=sharing"",""ปัตตานี!L432"")"),32640)</f>
        <v>32640</v>
      </c>
      <c r="M537" s="175"/>
      <c r="N537" s="175">
        <f ca="1">IFERROR(__xludf.DUMMYFUNCTION("IMPORTRANGE(""https://docs.google.com/spreadsheets/d/1IYY_tgx_IHuhSq3AJ5eI5OnqOPBNLWSHKh2a30DoXe8/edit?usp=sharing"",""ปัตตานี!M432"")"),30349.2)</f>
        <v>30349.200000000001</v>
      </c>
      <c r="O537" s="175">
        <f t="shared" ca="1" si="118"/>
        <v>92.981617647058826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IFERROR(__xludf.DUMMYFUNCTION("IMPORTRANGE(""https://docs.google.com/spreadsheets/d/1IYY_tgx_IHuhSq3AJ5eI5OnqOPBNLWSHKh2a30DoXe8/edit?usp=sharing"",""ปัตตานี!M436"")"),13309.2)</f>
        <v>13309.2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IFERROR(__xludf.DUMMYFUNCTION("IMPORTRANGE(""https://docs.google.com/spreadsheets/d/1IYY_tgx_IHuhSq3AJ5eI5OnqOPBNLWSHKh2a30DoXe8/edit?usp=sharing"",""ปัตตานี!J438"")"),0)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IFERROR(__xludf.DUMMYFUNCTION("IMPORTRANGE(""https://docs.google.com/spreadsheets/d/1IYY_tgx_IHuhSq3AJ5eI5OnqOPBNLWSHKh2a30DoXe8/edit?usp=sharing"",""ปัตตานี!J439"")"),1)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IFERROR(__xludf.DUMMYFUNCTION("IMPORTRANGE(""https://docs.google.com/spreadsheets/d/1IYY_tgx_IHuhSq3AJ5eI5OnqOPBNLWSHKh2a30DoXe8/edit?usp=sharing"",""ปัตตานี!J440"")"),1)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IFERROR(__xludf.DUMMYFUNCTION("IMPORTRANGE(""https://docs.google.com/spreadsheets/d/1IYY_tgx_IHuhSq3AJ5eI5OnqOPBNLWSHKh2a30DoXe8/edit?usp=sharing"",""ปัตตานี!J441"")"),1)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IFERROR(__xludf.DUMMYFUNCTION("IMPORTRANGE(""https://docs.google.com/spreadsheets/d/1IYY_tgx_IHuhSq3AJ5eI5OnqOPBNLWSHKh2a30DoXe8/edit?usp=sharing"",""ปัตตานี!I442"")"),20)</f>
        <v>20</v>
      </c>
      <c r="J547" s="195">
        <f ca="1">IFERROR(__xludf.DUMMYFUNCTION("IMPORTRANGE(""https://docs.google.com/spreadsheets/d/1IYY_tgx_IHuhSq3AJ5eI5OnqOPBNLWSHKh2a30DoXe8/edit?usp=sharing"",""ปัตตานี!J442"")"),20)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IFERROR(__xludf.DUMMYFUNCTION("IMPORTRANGE(""https://docs.google.com/spreadsheets/d/1IYY_tgx_IHuhSq3AJ5eI5OnqOPBNLWSHKh2a30DoXe8/edit?usp=sharing"",""ปัตตานี!J166"")"),0)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IFERROR(__xludf.DUMMYFUNCTION("IMPORTRANGE(""https://docs.google.com/spreadsheets/d/1IYY_tgx_IHuhSq3AJ5eI5OnqOPBNLWSHKh2a30DoXe8/edit?usp=sharing"",""ปัตตานี!J444"")"),0)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IFERROR(__xludf.DUMMYFUNCTION("IMPORTRANGE(""https://docs.google.com/spreadsheets/d/1IYY_tgx_IHuhSq3AJ5eI5OnqOPBNLWSHKh2a30DoXe8/edit?usp=sharing"",""ปัตตานี!L447"")"),0)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IFERROR(__xludf.DUMMYFUNCTION("IMPORTRANGE(""https://docs.google.com/spreadsheets/d/1IYY_tgx_IHuhSq3AJ5eI5OnqOPBNLWSHKh2a30DoXe8/edit?usp=sharing"",""ปัตตานี!M447"")"),0)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IFERROR(__xludf.DUMMYFUNCTION("IMPORTRANGE(""https://docs.google.com/spreadsheets/d/1IYY_tgx_IHuhSq3AJ5eI5OnqOPBNLWSHKh2a30DoXe8/edit?usp=sharing"",""ปัตตานี!M448"")"),0)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IFERROR(__xludf.DUMMYFUNCTION("IMPORTRANGE(""https://docs.google.com/spreadsheets/d/1IYY_tgx_IHuhSq3AJ5eI5OnqOPBNLWSHKh2a30DoXe8/edit?usp=sharing"",""ปัตตานี!L449"")"),0)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IFERROR(__xludf.DUMMYFUNCTION("IMPORTRANGE(""https://docs.google.com/spreadsheets/d/1IYY_tgx_IHuhSq3AJ5eI5OnqOPBNLWSHKh2a30DoXe8/edit?usp=sharing"",""ปัตตานี!M449"")"),0)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IFERROR(__xludf.DUMMYFUNCTION("IMPORTRANGE(""https://docs.google.com/spreadsheets/d/1IYY_tgx_IHuhSq3AJ5eI5OnqOPBNLWSHKh2a30DoXe8/edit?usp=sharing"",""ปัตตานี!L450"")"),0)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IFERROR(__xludf.DUMMYFUNCTION("IMPORTRANGE(""https://docs.google.com/spreadsheets/d/1IYY_tgx_IHuhSq3AJ5eI5OnqOPBNLWSHKh2a30DoXe8/edit?usp=sharing"",""ปัตตานี!M450"")"),0)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IFERROR(__xludf.DUMMYFUNCTION("IMPORTRANGE(""https://docs.google.com/spreadsheets/d/1IYY_tgx_IHuhSq3AJ5eI5OnqOPBNLWSHKh2a30DoXe8/edit?usp=sharing"",""ปัตตานี!M451"")"),0)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IFERROR(__xludf.DUMMYFUNCTION("IMPORTRANGE(""https://docs.google.com/spreadsheets/d/1IYY_tgx_IHuhSq3AJ5eI5OnqOPBNLWSHKh2a30DoXe8/edit?usp=sharing"",""ปัตตานี!M452"")"),0)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IFERROR(__xludf.DUMMYFUNCTION("IMPORTRANGE(""https://docs.google.com/spreadsheets/d/1IYY_tgx_IHuhSq3AJ5eI5OnqOPBNLWSHKh2a30DoXe8/edit?usp=sharing"",""ปัตตานี!M453"")"),0)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IFERROR(__xludf.DUMMYFUNCTION("IMPORTRANGE(""https://docs.google.com/spreadsheets/d/1IYY_tgx_IHuhSq3AJ5eI5OnqOPBNLWSHKh2a30DoXe8/edit?usp=sharing"",""ปัตตานี!M454"")"),0)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IFERROR(__xludf.DUMMYFUNCTION("IMPORTRANGE(""https://docs.google.com/spreadsheets/d/1IYY_tgx_IHuhSq3AJ5eI5OnqOPBNLWSHKh2a30DoXe8/edit?usp=sharing"",""ปัตตานี!I455"")"),0)</f>
        <v>0</v>
      </c>
      <c r="J560" s="166">
        <f ca="1">IFERROR(__xludf.DUMMYFUNCTION("IMPORTRANGE(""https://docs.google.com/spreadsheets/d/1IYY_tgx_IHuhSq3AJ5eI5OnqOPBNLWSHKh2a30DoXe8/edit?usp=sharing"",""ปัตตานี!J455"")"),0)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IFERROR(__xludf.DUMMYFUNCTION("IMPORTRANGE(""https://docs.google.com/spreadsheets/d/1IYY_tgx_IHuhSq3AJ5eI5OnqOPBNLWSHKh2a30DoXe8/edit?usp=sharing"",""ปัตตานี!I456"")"),0)</f>
        <v>0</v>
      </c>
      <c r="J561" s="210">
        <f ca="1">IFERROR(__xludf.DUMMYFUNCTION("IMPORTRANGE(""https://docs.google.com/spreadsheets/d/1IYY_tgx_IHuhSq3AJ5eI5OnqOPBNLWSHKh2a30DoXe8/edit?usp=sharing"",""ปัตตานี!J456"")"),0)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IFERROR(__xludf.DUMMYFUNCTION("IMPORTRANGE(""https://docs.google.com/spreadsheets/d/1IYY_tgx_IHuhSq3AJ5eI5OnqOPBNLWSHKh2a30DoXe8/edit?usp=sharing"",""ปัตตานี!J459"")"),885)</f>
        <v>885</v>
      </c>
      <c r="K564" s="378">
        <f ca="1">IF(I564&gt;0,J564*100/I564,0)</f>
        <v>442.5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IFERROR(__xludf.DUMMYFUNCTION("IMPORTRANGE(""https://docs.google.com/spreadsheets/d/1IYY_tgx_IHuhSq3AJ5eI5OnqOPBNLWSHKh2a30DoXe8/edit?usp=sharing"",""ปัตตานี!M459"")"),118847.48)</f>
        <v>118847.48</v>
      </c>
      <c r="O564" s="379">
        <f t="shared" ref="O564:O568" ca="1" si="122">+IF(L564&gt;0,N564*100/L564,0)</f>
        <v>99.437315930388223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IFERROR(__xludf.DUMMYFUNCTION("IMPORTRANGE(""https://docs.google.com/spreadsheets/d/1IYY_tgx_IHuhSq3AJ5eI5OnqOPBNLWSHKh2a30DoXe8/edit?usp=sharing"",""ปัตตานี!L460"")"),0)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IFERROR(__xludf.DUMMYFUNCTION("IMPORTRANGE(""https://docs.google.com/spreadsheets/d/1IYY_tgx_IHuhSq3AJ5eI5OnqOPBNLWSHKh2a30DoXe8/edit?usp=sharing"",""ปัตตานี!M460"")"),0)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5">
        <f ca="1">IFERROR(__xludf.DUMMYFUNCTION("IMPORTRANGE(""https://docs.google.com/spreadsheets/d/1IYY_tgx_IHuhSq3AJ5eI5OnqOPBNLWSHKh2a30DoXe8/edit?usp=sharing"",""ปัตตานี!M461"")"),118847.48)</f>
        <v>118847.48</v>
      </c>
      <c r="O566" s="175">
        <f t="shared" ca="1" si="122"/>
        <v>99.437315930388223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IFERROR(__xludf.DUMMYFUNCTION("IMPORTRANGE(""https://docs.google.com/spreadsheets/d/1IYY_tgx_IHuhSq3AJ5eI5OnqOPBNLWSHKh2a30DoXe8/edit?usp=sharing"",""ปัตตานี!L462"")"),0)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IFERROR(__xludf.DUMMYFUNCTION("IMPORTRANGE(""https://docs.google.com/spreadsheets/d/1IYY_tgx_IHuhSq3AJ5eI5OnqOPBNLWSHKh2a30DoXe8/edit?usp=sharing"",""ปัตตานี!M462"")"),0)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IFERROR(__xludf.DUMMYFUNCTION("IMPORTRANGE(""https://docs.google.com/spreadsheets/d/1IYY_tgx_IHuhSq3AJ5eI5OnqOPBNLWSHKh2a30DoXe8/edit?usp=sharing"",""ปัตตานี!L463"")"),119520)</f>
        <v>119520</v>
      </c>
      <c r="M568" s="175"/>
      <c r="N568" s="175">
        <f ca="1">IFERROR(__xludf.DUMMYFUNCTION("IMPORTRANGE(""https://docs.google.com/spreadsheets/d/1IYY_tgx_IHuhSq3AJ5eI5OnqOPBNLWSHKh2a30DoXe8/edit?usp=sharing"",""ปัตตานี!M463"")"),118847.48)</f>
        <v>118847.48</v>
      </c>
      <c r="O568" s="175">
        <f t="shared" ca="1" si="122"/>
        <v>99.437315930388223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IFERROR(__xludf.DUMMYFUNCTION("IMPORTRANGE(""https://docs.google.com/spreadsheets/d/1IYY_tgx_IHuhSq3AJ5eI5OnqOPBNLWSHKh2a30DoXe8/edit?usp=sharing"",""ปัตตานี!M464"")"),0)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IFERROR(__xludf.DUMMYFUNCTION("IMPORTRANGE(""https://docs.google.com/spreadsheets/d/1IYY_tgx_IHuhSq3AJ5eI5OnqOPBNLWSHKh2a30DoXe8/edit?usp=sharing"",""ปัตตานี!M465"")"),0)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IFERROR(__xludf.DUMMYFUNCTION("IMPORTRANGE(""https://docs.google.com/spreadsheets/d/1IYY_tgx_IHuhSq3AJ5eI5OnqOPBNLWSHKh2a30DoXe8/edit?usp=sharing"",""ปัตตานี!M466"")"),97935.48)</f>
        <v>97935.48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IFERROR(__xludf.DUMMYFUNCTION("IMPORTRANGE(""https://docs.google.com/spreadsheets/d/1IYY_tgx_IHuhSq3AJ5eI5OnqOPBNLWSHKh2a30DoXe8/edit?usp=sharing"",""ปัตตานี!M467"")"),20912)</f>
        <v>20912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IFERROR(__xludf.DUMMYFUNCTION("IMPORTRANGE(""https://docs.google.com/spreadsheets/d/1IYY_tgx_IHuhSq3AJ5eI5OnqOPBNLWSHKh2a30DoXe8/edit?usp=sharing"",""ปัตตานี!J468"")"),885)</f>
        <v>885</v>
      </c>
      <c r="K573" s="208">
        <f ca="1">IF(I573&gt;0,J573*100/I573,0)</f>
        <v>442.5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IFERROR(__xludf.DUMMYFUNCTION("IMPORTRANGE(""https://docs.google.com/spreadsheets/d/1IYY_tgx_IHuhSq3AJ5eI5OnqOPBNLWSHKh2a30DoXe8/edit?usp=sharing"",""ปัตตานี!I470"")"),0)</f>
        <v>0</v>
      </c>
      <c r="J575" s="204">
        <f ca="1">IFERROR(__xludf.DUMMYFUNCTION("IMPORTRANGE(""https://docs.google.com/spreadsheets/d/1IYY_tgx_IHuhSq3AJ5eI5OnqOPBNLWSHKh2a30DoXe8/edit?usp=sharing"",""ปัตตานี!J470"")"),11)</f>
        <v>11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IFERROR(__xludf.DUMMYFUNCTION("IMPORTRANGE(""https://docs.google.com/spreadsheets/d/1IYY_tgx_IHuhSq3AJ5eI5OnqOPBNLWSHKh2a30DoXe8/edit?usp=sharing"",""ปัตตานี!I471"")"),0)</f>
        <v>0</v>
      </c>
      <c r="J576" s="204">
        <f ca="1">IFERROR(__xludf.DUMMYFUNCTION("IMPORTRANGE(""https://docs.google.com/spreadsheets/d/1IYY_tgx_IHuhSq3AJ5eI5OnqOPBNLWSHKh2a30DoXe8/edit?usp=sharing"",""ปัตตานี!J471"")"),329)</f>
        <v>329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IFERROR(__xludf.DUMMYFUNCTION("IMPORTRANGE(""https://docs.google.com/spreadsheets/d/1IYY_tgx_IHuhSq3AJ5eI5OnqOPBNLWSHKh2a30DoXe8/edit?usp=sharing"",""ปัตตานี!I472"")"),0)</f>
        <v>0</v>
      </c>
      <c r="J577" s="195">
        <f ca="1">IFERROR(__xludf.DUMMYFUNCTION("IMPORTRANGE(""https://docs.google.com/spreadsheets/d/1IYY_tgx_IHuhSq3AJ5eI5OnqOPBNLWSHKh2a30DoXe8/edit?usp=sharing"",""ปัตตานี!J472"")"),400)</f>
        <v>400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IFERROR(__xludf.DUMMYFUNCTION("IMPORTRANGE(""https://docs.google.com/spreadsheets/d/1IYY_tgx_IHuhSq3AJ5eI5OnqOPBNLWSHKh2a30DoXe8/edit?usp=sharing"",""ปัตตานี!I473"")"),0)</f>
        <v>0</v>
      </c>
      <c r="J578" s="204">
        <f ca="1">IFERROR(__xludf.DUMMYFUNCTION("IMPORTRANGE(""https://docs.google.com/spreadsheets/d/1IYY_tgx_IHuhSq3AJ5eI5OnqOPBNLWSHKh2a30DoXe8/edit?usp=sharing"",""ปัตตานี!J473"")"),1)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IFERROR(__xludf.DUMMYFUNCTION("IMPORTRANGE(""https://docs.google.com/spreadsheets/d/1IYY_tgx_IHuhSq3AJ5eI5OnqOPBNLWSHKh2a30DoXe8/edit?usp=sharing"",""ปัตตานี!I474"")"),0)</f>
        <v>0</v>
      </c>
      <c r="J579" s="204">
        <f ca="1">IFERROR(__xludf.DUMMYFUNCTION("IMPORTRANGE(""https://docs.google.com/spreadsheets/d/1IYY_tgx_IHuhSq3AJ5eI5OnqOPBNLWSHKh2a30DoXe8/edit?usp=sharing"",""ปัตตานี!J474"")"),155)</f>
        <v>155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IFERROR(__xludf.DUMMYFUNCTION("IMPORTRANGE(""https://docs.google.com/spreadsheets/d/1IYY_tgx_IHuhSq3AJ5eI5OnqOPBNLWSHKh2a30DoXe8/edit?usp=sharing"",""ปัตตานี!L476"")"),0)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IFERROR(__xludf.DUMMYFUNCTION("IMPORTRANGE(""https://docs.google.com/spreadsheets/d/1IYY_tgx_IHuhSq3AJ5eI5OnqOPBNLWSHKh2a30DoXe8/edit?usp=sharing"",""ปัตตานี!M476"")"),0)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IFERROR(__xludf.DUMMYFUNCTION("IMPORTRANGE(""https://docs.google.com/spreadsheets/d/1IYY_tgx_IHuhSq3AJ5eI5OnqOPBNLWSHKh2a30DoXe8/edit?usp=sharing"",""ปัตตานี!M477"")"),0)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IFERROR(__xludf.DUMMYFUNCTION("IMPORTRANGE(""https://docs.google.com/spreadsheets/d/1IYY_tgx_IHuhSq3AJ5eI5OnqOPBNLWSHKh2a30DoXe8/edit?usp=sharing"",""ปัตตานี!L478"")"),0)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IFERROR(__xludf.DUMMYFUNCTION("IMPORTRANGE(""https://docs.google.com/spreadsheets/d/1IYY_tgx_IHuhSq3AJ5eI5OnqOPBNLWSHKh2a30DoXe8/edit?usp=sharing"",""ปัตตานี!M478"")"),0)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IFERROR(__xludf.DUMMYFUNCTION("IMPORTRANGE(""https://docs.google.com/spreadsheets/d/1IYY_tgx_IHuhSq3AJ5eI5OnqOPBNLWSHKh2a30DoXe8/edit?usp=sharing"",""ปัตตานี!L479"")"),0)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IFERROR(__xludf.DUMMYFUNCTION("IMPORTRANGE(""https://docs.google.com/spreadsheets/d/1IYY_tgx_IHuhSq3AJ5eI5OnqOPBNLWSHKh2a30DoXe8/edit?usp=sharing"",""ปัตตานี!M479"")"),0)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IFERROR(__xludf.DUMMYFUNCTION("IMPORTRANGE(""https://docs.google.com/spreadsheets/d/1IYY_tgx_IHuhSq3AJ5eI5OnqOPBNLWSHKh2a30DoXe8/edit?usp=sharing"",""ปัตตานี!M480"")"),0)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IFERROR(__xludf.DUMMYFUNCTION("IMPORTRANGE(""https://docs.google.com/spreadsheets/d/1IYY_tgx_IHuhSq3AJ5eI5OnqOPBNLWSHKh2a30DoXe8/edit?usp=sharing"",""ปัตตานี!M481"")"),0)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IFERROR(__xludf.DUMMYFUNCTION("IMPORTRANGE(""https://docs.google.com/spreadsheets/d/1IYY_tgx_IHuhSq3AJ5eI5OnqOPBNLWSHKh2a30DoXe8/edit?usp=sharing"",""ปัตตานี!M482"")"),0)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IFERROR(__xludf.DUMMYFUNCTION("IMPORTRANGE(""https://docs.google.com/spreadsheets/d/1IYY_tgx_IHuhSq3AJ5eI5OnqOPBNLWSHKh2a30DoXe8/edit?usp=sharing"",""ปัตตานี!M483"")"),0)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4">
        <f ca="1">IFERROR(__xludf.DUMMYFUNCTION("IMPORTRANGE(""https://docs.google.com/spreadsheets/d/1IYY_tgx_IHuhSq3AJ5eI5OnqOPBNLWSHKh2a30DoXe8/edit?usp=sharing"",""ปัตตานี!J484"")"),0)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4">
        <f ca="1">IFERROR(__xludf.DUMMYFUNCTION("IMPORTRANGE(""https://docs.google.com/spreadsheets/d/1IYY_tgx_IHuhSq3AJ5eI5OnqOPBNLWSHKh2a30DoXe8/edit?usp=sharing"",""ปัตตานี!J485"")"),0)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4">
        <f ca="1">IFERROR(__xludf.DUMMYFUNCTION("IMPORTRANGE(""https://docs.google.com/spreadsheets/d/1IYY_tgx_IHuhSq3AJ5eI5OnqOPBNLWSHKh2a30DoXe8/edit?usp=sharing"",""ปัตตานี!J486"")"),0)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4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4">
        <f ca="1">IFERROR(__xludf.DUMMYFUNCTION("IMPORTRANGE(""https://docs.google.com/spreadsheets/d/1IYY_tgx_IHuhSq3AJ5eI5OnqOPBNLWSHKh2a30DoXe8/edit?usp=sharing"",""ปัตตานี!J488"")"),0)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4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4">
        <f ca="1">IFERROR(__xludf.DUMMYFUNCTION("IMPORTRANGE(""https://docs.google.com/spreadsheets/d/1IYY_tgx_IHuhSq3AJ5eI5OnqOPBNLWSHKh2a30DoXe8/edit?usp=sharing"",""ปัตตานี!J490"")"),0)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IFERROR(__xludf.DUMMYFUNCTION("IMPORTRANGE(""https://docs.google.com/spreadsheets/d/1IYY_tgx_IHuhSq3AJ5eI5OnqOPBNLWSHKh2a30DoXe8/edit?usp=sharing"",""ปัตตานี!I491"")"),0)</f>
        <v>0</v>
      </c>
      <c r="J596" s="247">
        <f ca="1">IFERROR(__xludf.DUMMYFUNCTION("IMPORTRANGE(""https://docs.google.com/spreadsheets/d/1IYY_tgx_IHuhSq3AJ5eI5OnqOPBNLWSHKh2a30DoXe8/edit?usp=sharing"",""ปัตตานี!J491"")"),0)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IFERROR(__xludf.DUMMYFUNCTION("IMPORTRANGE(""https://docs.google.com/spreadsheets/d/1IYY_tgx_IHuhSq3AJ5eI5OnqOPBNLWSHKh2a30DoXe8/edit?usp=sharing"",""ปัตตานี!I492"")"),100)</f>
        <v>100</v>
      </c>
      <c r="J597" s="494">
        <f ca="1">IFERROR(__xludf.DUMMYFUNCTION("IMPORTRANGE(""https://docs.google.com/spreadsheets/d/1IYY_tgx_IHuhSq3AJ5eI5OnqOPBNLWSHKh2a30DoXe8/edit?usp=sharing"",""ปัตตานี!J492"")"),0)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IFERROR(__xludf.DUMMYFUNCTION("IMPORTRANGE(""https://docs.google.com/spreadsheets/d/1IYY_tgx_IHuhSq3AJ5eI5OnqOPBNLWSHKh2a30DoXe8/edit?usp=sharing"",""ปัตตานี!L492"")"),7300)</f>
        <v>7300</v>
      </c>
      <c r="M597" s="418"/>
      <c r="N597" s="418">
        <f ca="1">IFERROR(__xludf.DUMMYFUNCTION("IMPORTRANGE(""https://docs.google.com/spreadsheets/d/1IYY_tgx_IHuhSq3AJ5eI5OnqOPBNLWSHKh2a30DoXe8/edit?usp=sharing"",""ปัตตานี!M492"")"),25308)</f>
        <v>25308</v>
      </c>
      <c r="O597" s="418">
        <f t="shared" ref="O597:O601" ca="1" si="126">+IF(L597&gt;0,N597*100/L597,0)</f>
        <v>346.6849315068493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IFERROR(__xludf.DUMMYFUNCTION("IMPORTRANGE(""https://docs.google.com/spreadsheets/d/1IYY_tgx_IHuhSq3AJ5eI5OnqOPBNLWSHKh2a30DoXe8/edit?usp=sharing"",""ปัตตานี!L493"")"),0)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IFERROR(__xludf.DUMMYFUNCTION("IMPORTRANGE(""https://docs.google.com/spreadsheets/d/1IYY_tgx_IHuhSq3AJ5eI5OnqOPBNLWSHKh2a30DoXe8/edit?usp=sharing"",""ปัตตานี!M493"")"),0)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IFERROR(__xludf.DUMMYFUNCTION("IMPORTRANGE(""https://docs.google.com/spreadsheets/d/1IYY_tgx_IHuhSq3AJ5eI5OnqOPBNLWSHKh2a30DoXe8/edit?usp=sharing"",""ปัตตานี!L494"")"),7300)</f>
        <v>7300</v>
      </c>
      <c r="M599" s="169"/>
      <c r="N599" s="175">
        <f ca="1">IFERROR(__xludf.DUMMYFUNCTION("IMPORTRANGE(""https://docs.google.com/spreadsheets/d/1IYY_tgx_IHuhSq3AJ5eI5OnqOPBNLWSHKh2a30DoXe8/edit?usp=sharing"",""ปัตตานี!M494"")"),25308)</f>
        <v>25308</v>
      </c>
      <c r="O599" s="175">
        <f t="shared" ca="1" si="126"/>
        <v>346.6849315068493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IFERROR(__xludf.DUMMYFUNCTION("IMPORTRANGE(""https://docs.google.com/spreadsheets/d/1IYY_tgx_IHuhSq3AJ5eI5OnqOPBNLWSHKh2a30DoXe8/edit?usp=sharing"",""ปัตตานี!L495"")"),0)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IFERROR(__xludf.DUMMYFUNCTION("IMPORTRANGE(""https://docs.google.com/spreadsheets/d/1IYY_tgx_IHuhSq3AJ5eI5OnqOPBNLWSHKh2a30DoXe8/edit?usp=sharing"",""ปัตตานี!M495"")"),0)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IFERROR(__xludf.DUMMYFUNCTION("IMPORTRANGE(""https://docs.google.com/spreadsheets/d/1IYY_tgx_IHuhSq3AJ5eI5OnqOPBNLWSHKh2a30DoXe8/edit?usp=sharing"",""ปัตตานี!L496"")"),7300)</f>
        <v>7300</v>
      </c>
      <c r="M601" s="175"/>
      <c r="N601" s="175">
        <f ca="1">IFERROR(__xludf.DUMMYFUNCTION("IMPORTRANGE(""https://docs.google.com/spreadsheets/d/1IYY_tgx_IHuhSq3AJ5eI5OnqOPBNLWSHKh2a30DoXe8/edit?usp=sharing"",""ปัตตานี!M496"")"),25308)</f>
        <v>25308</v>
      </c>
      <c r="O601" s="175">
        <f t="shared" ca="1" si="126"/>
        <v>346.6849315068493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IFERROR(__xludf.DUMMYFUNCTION("IMPORTRANGE(""https://docs.google.com/spreadsheets/d/1IYY_tgx_IHuhSq3AJ5eI5OnqOPBNLWSHKh2a30DoXe8/edit?usp=sharing"",""ปัตตานี!M497"")"),0)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IFERROR(__xludf.DUMMYFUNCTION("IMPORTRANGE(""https://docs.google.com/spreadsheets/d/1IYY_tgx_IHuhSq3AJ5eI5OnqOPBNLWSHKh2a30DoXe8/edit?usp=sharing"",""ปัตตานี!M498"")"),0)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IFERROR(__xludf.DUMMYFUNCTION("IMPORTRANGE(""https://docs.google.com/spreadsheets/d/1IYY_tgx_IHuhSq3AJ5eI5OnqOPBNLWSHKh2a30DoXe8/edit?usp=sharing"",""ปัตตานี!M500"")"),25308)</f>
        <v>25308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IFERROR(__xludf.DUMMYFUNCTION("IMPORTRANGE(""https://docs.google.com/spreadsheets/d/1IYY_tgx_IHuhSq3AJ5eI5OnqOPBNLWSHKh2a30DoXe8/edit?usp=sharing"",""ปัตตานี!J502"")"),0)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IFERROR(__xludf.DUMMYFUNCTION("IMPORTRANGE(""https://docs.google.com/spreadsheets/d/1IYY_tgx_IHuhSq3AJ5eI5OnqOPBNLWSHKh2a30DoXe8/edit?usp=sharing"",""ปัตตานี!J503"")"),1)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IFERROR(__xludf.DUMMYFUNCTION("IMPORTRANGE(""https://docs.google.com/spreadsheets/d/1IYY_tgx_IHuhSq3AJ5eI5OnqOPBNLWSHKh2a30DoXe8/edit?usp=sharing"",""ปัตตานี!J166"")"),0)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IFERROR(__xludf.DUMMYFUNCTION("IMPORTRANGE(""https://docs.google.com/spreadsheets/d/1IYY_tgx_IHuhSq3AJ5eI5OnqOPBNLWSHKh2a30DoXe8/edit?usp=sharing"",""ปัตตานี!J166"")"),0)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IFERROR(__xludf.DUMMYFUNCTION("IMPORTRANGE(""https://docs.google.com/spreadsheets/d/1IYY_tgx_IHuhSq3AJ5eI5OnqOPBNLWSHKh2a30DoXe8/edit?usp=sharing"",""ปัตตานี!I506"")"),100)</f>
        <v>100</v>
      </c>
      <c r="J611" s="166">
        <f ca="1">IFERROR(__xludf.DUMMYFUNCTION("IMPORTRANGE(""https://docs.google.com/spreadsheets/d/1IYY_tgx_IHuhSq3AJ5eI5OnqOPBNLWSHKh2a30DoXe8/edit?usp=sharing"",""ปัตตานี!J506"")"),0)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IFERROR(__xludf.DUMMYFUNCTION("IMPORTRANGE(""https://docs.google.com/spreadsheets/d/1IYY_tgx_IHuhSq3AJ5eI5OnqOPBNLWSHKh2a30DoXe8/edit?usp=sharing"",""ปัตตานี!I507"")"),0)</f>
        <v>0</v>
      </c>
      <c r="J612" s="204">
        <f ca="1">IFERROR(__xludf.DUMMYFUNCTION("IMPORTRANGE(""https://docs.google.com/spreadsheets/d/1IYY_tgx_IHuhSq3AJ5eI5OnqOPBNLWSHKh2a30DoXe8/edit?usp=sharing"",""ปัตตานี!J507"")"),513.55)</f>
        <v>513.54999999999995</v>
      </c>
      <c r="K612" s="167">
        <f t="shared" ca="1" si="127"/>
        <v>513.54999999999995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IFERROR(__xludf.DUMMYFUNCTION("IMPORTRANGE(""https://docs.google.com/spreadsheets/d/1IYY_tgx_IHuhSq3AJ5eI5OnqOPBNLWSHKh2a30DoXe8/edit?usp=sharing"",""ปัตตานี!I508"")"),0)</f>
        <v>0</v>
      </c>
      <c r="J613" s="204">
        <f ca="1">IFERROR(__xludf.DUMMYFUNCTION("IMPORTRANGE(""https://docs.google.com/spreadsheets/d/1IYY_tgx_IHuhSq3AJ5eI5OnqOPBNLWSHKh2a30DoXe8/edit?usp=sharing"",""ปัตตานี!J508"")"),513.55)</f>
        <v>513.54999999999995</v>
      </c>
      <c r="K613" s="167">
        <f t="shared" ca="1" si="127"/>
        <v>513.54999999999995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IFERROR(__xludf.DUMMYFUNCTION("IMPORTRANGE(""https://docs.google.com/spreadsheets/d/1IYY_tgx_IHuhSq3AJ5eI5OnqOPBNLWSHKh2a30DoXe8/edit?usp=sharing"",""ปัตตานี!I509"")"),0)</f>
        <v>0</v>
      </c>
      <c r="J614" s="204">
        <f ca="1">IFERROR(__xludf.DUMMYFUNCTION("IMPORTRANGE(""https://docs.google.com/spreadsheets/d/1IYY_tgx_IHuhSq3AJ5eI5OnqOPBNLWSHKh2a30DoXe8/edit?usp=sharing"",""ปัตตานี!J509"")"),513.55)</f>
        <v>513.54999999999995</v>
      </c>
      <c r="K614" s="167">
        <f t="shared" ca="1" si="127"/>
        <v>513.54999999999995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IFERROR(__xludf.DUMMYFUNCTION("IMPORTRANGE(""https://docs.google.com/spreadsheets/d/1IYY_tgx_IHuhSq3AJ5eI5OnqOPBNLWSHKh2a30DoXe8/edit?usp=sharing"",""ปัตตานี!I510"")"),0)</f>
        <v>0</v>
      </c>
      <c r="J615" s="204">
        <f ca="1">IFERROR(__xludf.DUMMYFUNCTION("IMPORTRANGE(""https://docs.google.com/spreadsheets/d/1IYY_tgx_IHuhSq3AJ5eI5OnqOPBNLWSHKh2a30DoXe8/edit?usp=sharing"",""ปัตตานี!J510"")"),513.55)</f>
        <v>513.54999999999995</v>
      </c>
      <c r="K615" s="167">
        <f t="shared" ca="1" si="127"/>
        <v>513.54999999999995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IFERROR(__xludf.DUMMYFUNCTION("IMPORTRANGE(""https://docs.google.com/spreadsheets/d/1IYY_tgx_IHuhSq3AJ5eI5OnqOPBNLWSHKh2a30DoXe8/edit?usp=sharing"",""ปัตตานี!I511"")"),0)</f>
        <v>0</v>
      </c>
      <c r="J616" s="204">
        <f ca="1">IFERROR(__xludf.DUMMYFUNCTION("IMPORTRANGE(""https://docs.google.com/spreadsheets/d/1IYY_tgx_IHuhSq3AJ5eI5OnqOPBNLWSHKh2a30DoXe8/edit?usp=sharing"",""ปัตตานี!J511"")"),513.554)</f>
        <v>513.55399999999997</v>
      </c>
      <c r="K616" s="167">
        <f t="shared" ca="1" si="127"/>
        <v>513.55399999999997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IFERROR(__xludf.DUMMYFUNCTION("IMPORTRANGE(""https://docs.google.com/spreadsheets/d/1IYY_tgx_IHuhSq3AJ5eI5OnqOPBNLWSHKh2a30DoXe8/edit?usp=sharing"",""ปัตตานี!I512"")"),0)</f>
        <v>0</v>
      </c>
      <c r="J617" s="194">
        <f ca="1">IFERROR(__xludf.DUMMYFUNCTION("IMPORTRANGE(""https://docs.google.com/spreadsheets/d/1IYY_tgx_IHuhSq3AJ5eI5OnqOPBNLWSHKh2a30DoXe8/edit?usp=sharing"",""ปัตตานี!J512"")"),0)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IFERROR(__xludf.DUMMYFUNCTION("IMPORTRANGE(""https://docs.google.com/spreadsheets/d/1IYY_tgx_IHuhSq3AJ5eI5OnqOPBNLWSHKh2a30DoXe8/edit?usp=sharing"",""ปัตตานี!I513"")"),0)</f>
        <v>0</v>
      </c>
      <c r="J618" s="195">
        <f ca="1">IFERROR(__xludf.DUMMYFUNCTION("IMPORTRANGE(""https://docs.google.com/spreadsheets/d/1IYY_tgx_IHuhSq3AJ5eI5OnqOPBNLWSHKh2a30DoXe8/edit?usp=sharing"",""ปัตตานี!J513"")"),0)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IFERROR(__xludf.DUMMYFUNCTION("IMPORTRANGE(""https://docs.google.com/spreadsheets/d/1IYY_tgx_IHuhSq3AJ5eI5OnqOPBNLWSHKh2a30DoXe8/edit?usp=sharing"",""ปัตตานี!I514"")"),0)</f>
        <v>0</v>
      </c>
      <c r="J619" s="195">
        <f ca="1">IFERROR(__xludf.DUMMYFUNCTION("IMPORTRANGE(""https://docs.google.com/spreadsheets/d/1IYY_tgx_IHuhSq3AJ5eI5OnqOPBNLWSHKh2a30DoXe8/edit?usp=sharing"",""ปัตตานี!J514"")"),0)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IFERROR(__xludf.DUMMYFUNCTION("IMPORTRANGE(""https://docs.google.com/spreadsheets/d/1IYY_tgx_IHuhSq3AJ5eI5OnqOPBNLWSHKh2a30DoXe8/edit?usp=sharing"",""ปัตตานี!I515"")"),0)</f>
        <v>0</v>
      </c>
      <c r="J620" s="209">
        <f ca="1">IFERROR(__xludf.DUMMYFUNCTION("IMPORTRANGE(""https://docs.google.com/spreadsheets/d/1IYY_tgx_IHuhSq3AJ5eI5OnqOPBNLWSHKh2a30DoXe8/edit?usp=sharing"",""ปัตตานี!J515"")"),0)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IFERROR(__xludf.DUMMYFUNCTION("IMPORTRANGE(""https://docs.google.com/spreadsheets/d/1IYY_tgx_IHuhSq3AJ5eI5OnqOPBNLWSHKh2a30DoXe8/edit?usp=sharing"",""ปัตตานี!I516"")"),0)</f>
        <v>0</v>
      </c>
      <c r="J621" s="209">
        <f ca="1">IFERROR(__xludf.DUMMYFUNCTION("IMPORTRANGE(""https://docs.google.com/spreadsheets/d/1IYY_tgx_IHuhSq3AJ5eI5OnqOPBNLWSHKh2a30DoXe8/edit?usp=sharing"",""ปัตตานี!J516"")"),0)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IFERROR(__xludf.DUMMYFUNCTION("IMPORTRANGE(""https://docs.google.com/spreadsheets/d/1IYY_tgx_IHuhSq3AJ5eI5OnqOPBNLWSHKh2a30DoXe8/edit?usp=sharing"",""ปัตตานี!I517"")"),0)</f>
        <v>0</v>
      </c>
      <c r="J622" s="195">
        <f ca="1">IFERROR(__xludf.DUMMYFUNCTION("IMPORTRANGE(""https://docs.google.com/spreadsheets/d/1IYY_tgx_IHuhSq3AJ5eI5OnqOPBNLWSHKh2a30DoXe8/edit?usp=sharing"",""ปัตตานี!J517"")"),0)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IFERROR(__xludf.DUMMYFUNCTION("IMPORTRANGE(""https://docs.google.com/spreadsheets/d/1IYY_tgx_IHuhSq3AJ5eI5OnqOPBNLWSHKh2a30DoXe8/edit?usp=sharing"",""ปัตตานี!I518"")"),0)</f>
        <v>0</v>
      </c>
      <c r="J623" s="195">
        <f ca="1">IFERROR(__xludf.DUMMYFUNCTION("IMPORTRANGE(""https://docs.google.com/spreadsheets/d/1IYY_tgx_IHuhSq3AJ5eI5OnqOPBNLWSHKh2a30DoXe8/edit?usp=sharing"",""ปัตตานี!J518"")"),0)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IFERROR(__xludf.DUMMYFUNCTION("IMPORTRANGE(""https://docs.google.com/spreadsheets/d/1IYY_tgx_IHuhSq3AJ5eI5OnqOPBNLWSHKh2a30DoXe8/edit?usp=sharing"",""ปัตตานี!I519"")"),0)</f>
        <v>0</v>
      </c>
      <c r="J624" s="194">
        <f ca="1">IFERROR(__xludf.DUMMYFUNCTION("IMPORTRANGE(""https://docs.google.com/spreadsheets/d/1IYY_tgx_IHuhSq3AJ5eI5OnqOPBNLWSHKh2a30DoXe8/edit?usp=sharing"",""ปัตตานี!J519"")"),0)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IFERROR(__xludf.DUMMYFUNCTION("IMPORTRANGE(""https://docs.google.com/spreadsheets/d/1IYY_tgx_IHuhSq3AJ5eI5OnqOPBNLWSHKh2a30DoXe8/edit?usp=sharing"",""ปัตตานี!I520"")"),0)</f>
        <v>0</v>
      </c>
      <c r="J625" s="195">
        <f ca="1">IFERROR(__xludf.DUMMYFUNCTION("IMPORTRANGE(""https://docs.google.com/spreadsheets/d/1IYY_tgx_IHuhSq3AJ5eI5OnqOPBNLWSHKh2a30DoXe8/edit?usp=sharing"",""ปัตตานี!J520"")"),0)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IFERROR(__xludf.DUMMYFUNCTION("IMPORTRANGE(""https://docs.google.com/spreadsheets/d/1IYY_tgx_IHuhSq3AJ5eI5OnqOPBNLWSHKh2a30DoXe8/edit?usp=sharing"",""ปัตตานี!I521"")"),0)</f>
        <v>0</v>
      </c>
      <c r="J626" s="195">
        <f ca="1">IFERROR(__xludf.DUMMYFUNCTION("IMPORTRANGE(""https://docs.google.com/spreadsheets/d/1IYY_tgx_IHuhSq3AJ5eI5OnqOPBNLWSHKh2a30DoXe8/edit?usp=sharing"",""ปัตตานี!J521"")"),0)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IFERROR(__xludf.DUMMYFUNCTION("IMPORTRANGE(""https://docs.google.com/spreadsheets/d/1IYY_tgx_IHuhSq3AJ5eI5OnqOPBNLWSHKh2a30DoXe8/edit?usp=sharing"",""ปัตตานี!J523"")"),283401.33)</f>
        <v>283401.33</v>
      </c>
      <c r="K628" s="348">
        <f t="shared" ref="K628:K635" ca="1" si="129">IF(I628&gt;0,J628*100/I628,0)</f>
        <v>118.37917943062389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IFERROR(__xludf.DUMMYFUNCTION("IMPORTRANGE(""https://docs.google.com/spreadsheets/d/1IYY_tgx_IHuhSq3AJ5eI5OnqOPBNLWSHKh2a30DoXe8/edit?usp=sharing"",""ปัตตานี!J524"")"),16)</f>
        <v>16</v>
      </c>
      <c r="K629" s="348">
        <f t="shared" ca="1" si="129"/>
        <v>80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IFERROR(__xludf.DUMMYFUNCTION("IMPORTRANGE(""https://docs.google.com/spreadsheets/d/1IYY_tgx_IHuhSq3AJ5eI5OnqOPBNLWSHKh2a30DoXe8/edit?usp=sharing"",""ปัตตานี!J525"")"),253667.09)</f>
        <v>253667.09</v>
      </c>
      <c r="K630" s="348">
        <f t="shared" ca="1" si="129"/>
        <v>11.312139787918335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IFERROR(__xludf.DUMMYFUNCTION("IMPORTRANGE(""https://docs.google.com/spreadsheets/d/1IYY_tgx_IHuhSq3AJ5eI5OnqOPBNLWSHKh2a30DoXe8/edit?usp=sharing"",""ปัตตานี!J526"")"),112)</f>
        <v>112</v>
      </c>
      <c r="K631" s="348">
        <f t="shared" ca="1" si="129"/>
        <v>75.167785234899327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IFERROR(__xludf.DUMMYFUNCTION("IMPORTRANGE(""https://docs.google.com/spreadsheets/d/1IYY_tgx_IHuhSq3AJ5eI5OnqOPBNLWSHKh2a30DoXe8/edit?usp=sharing"",""ปัตตานี!J527"")"),73829.25)</f>
        <v>73829.25</v>
      </c>
      <c r="K632" s="348">
        <f t="shared" ca="1" si="129"/>
        <v>162.18815862835271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IFERROR(__xludf.DUMMYFUNCTION("IMPORTRANGE(""https://docs.google.com/spreadsheets/d/1IYY_tgx_IHuhSq3AJ5eI5OnqOPBNLWSHKh2a30DoXe8/edit?usp=sharing"",""ปัตตานี!J528"")"),73)</f>
        <v>73</v>
      </c>
      <c r="K633" s="348">
        <f t="shared" ca="1" si="129"/>
        <v>84.883720930232556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IFERROR(__xludf.DUMMYFUNCTION("IMPORTRANGE(""https://docs.google.com/spreadsheets/d/1IYY_tgx_IHuhSq3AJ5eI5OnqOPBNLWSHKh2a30DoXe8/edit?usp=sharing"",""ปัตตานี!I529"")"),1204000)</f>
        <v>1204000</v>
      </c>
      <c r="J634" s="347">
        <f ca="1">IFERROR(__xludf.DUMMYFUNCTION("IMPORTRANGE(""https://docs.google.com/spreadsheets/d/1IYY_tgx_IHuhSq3AJ5eI5OnqOPBNLWSHKh2a30DoXe8/edit?usp=sharing"",""ปัตตานี!J529"")"),1204000)</f>
        <v>1204000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IFERROR(__xludf.DUMMYFUNCTION("IMPORTRANGE(""https://docs.google.com/spreadsheets/d/1IYY_tgx_IHuhSq3AJ5eI5OnqOPBNLWSHKh2a30DoXe8/edit?usp=sharing"",""ปัตตานี!I530"")"),28)</f>
        <v>28</v>
      </c>
      <c r="J635" s="518">
        <f ca="1">IFERROR(__xludf.DUMMYFUNCTION("IMPORTRANGE(""https://docs.google.com/spreadsheets/d/1IYY_tgx_IHuhSq3AJ5eI5OnqOPBNLWSHKh2a30DoXe8/edit?usp=sharing"",""ปัตตานี!J530"")"),27)</f>
        <v>27</v>
      </c>
      <c r="K635" s="493">
        <f t="shared" ca="1" si="129"/>
        <v>96.428571428571431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IFERROR(__xludf.DUMMYFUNCTION("IMPORTRANGE(""https://docs.google.com/spreadsheets/d/1IYY_tgx_IHuhSq3AJ5eI5OnqOPBNLWSHKh2a30DoXe8/edit?usp=sharing"",""ปัตตานี!J541"")"),0)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IFERROR(__xludf.DUMMYFUNCTION("IMPORTRANGE(""https://docs.google.com/spreadsheets/d/1IYY_tgx_IHuhSq3AJ5eI5OnqOPBNLWSHKh2a30DoXe8/edit?usp=sharing"",""ปัตตานี!J542"")"),0)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IFERROR(__xludf.DUMMYFUNCTION("IMPORTRANGE(""https://docs.google.com/spreadsheets/d/1IYY_tgx_IHuhSq3AJ5eI5OnqOPBNLWSHKh2a30DoXe8/edit?usp=sharing"",""ปัตตานี!I543"")"),0)</f>
        <v>0</v>
      </c>
      <c r="J648" s="547">
        <f ca="1">IFERROR(__xludf.DUMMYFUNCTION("IMPORTRANGE(""https://docs.google.com/spreadsheets/d/1IYY_tgx_IHuhSq3AJ5eI5OnqOPBNLWSHKh2a30DoXe8/edit?usp=sharing"",""ปัตตานี!J543"")"),0)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IFERROR(__xludf.DUMMYFUNCTION("IMPORTRANGE(""https://docs.google.com/spreadsheets/d/1IYY_tgx_IHuhSq3AJ5eI5OnqOPBNLWSHKh2a30DoXe8/edit?usp=sharing"",""ปัตตานี!L543"")"),0)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IFERROR(__xludf.DUMMYFUNCTION("IMPORTRANGE(""https://docs.google.com/spreadsheets/d/1IYY_tgx_IHuhSq3AJ5eI5OnqOPBNLWSHKh2a30DoXe8/edit?usp=sharing"",""ปัตตานี!M543"")"),0)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IFERROR(__xludf.DUMMYFUNCTION("IMPORTRANGE(""https://docs.google.com/spreadsheets/d/1IYY_tgx_IHuhSq3AJ5eI5OnqOPBNLWSHKh2a30DoXe8/edit?usp=sharing"",""ปัตตานี!I544"")"),0)</f>
        <v>0</v>
      </c>
      <c r="J649" s="547">
        <f ca="1">IFERROR(__xludf.DUMMYFUNCTION("IMPORTRANGE(""https://docs.google.com/spreadsheets/d/1IYY_tgx_IHuhSq3AJ5eI5OnqOPBNLWSHKh2a30DoXe8/edit?usp=sharing"",""ปัตตานี!J544"")"),0)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IFERROR(__xludf.DUMMYFUNCTION("IMPORTRANGE(""https://docs.google.com/spreadsheets/d/1IYY_tgx_IHuhSq3AJ5eI5OnqOPBNLWSHKh2a30DoXe8/edit?usp=sharing"",""ปัตตานี!L544"")"),0)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IFERROR(__xludf.DUMMYFUNCTION("IMPORTRANGE(""https://docs.google.com/spreadsheets/d/1IYY_tgx_IHuhSq3AJ5eI5OnqOPBNLWSHKh2a30DoXe8/edit?usp=sharing"",""ปัตตานี!M544"")"),0)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IFERROR(__xludf.DUMMYFUNCTION("IMPORTRANGE(""https://docs.google.com/spreadsheets/d/1IYY_tgx_IHuhSq3AJ5eI5OnqOPBNLWSHKh2a30DoXe8/edit?usp=sharing"",""ปัตตานี!I545"")"),0)</f>
        <v>0</v>
      </c>
      <c r="J650" s="547">
        <f ca="1">IFERROR(__xludf.DUMMYFUNCTION("IMPORTRANGE(""https://docs.google.com/spreadsheets/d/1IYY_tgx_IHuhSq3AJ5eI5OnqOPBNLWSHKh2a30DoXe8/edit?usp=sharing"",""ปัตตานี!J545"")"),0)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IFERROR(__xludf.DUMMYFUNCTION("IMPORTRANGE(""https://docs.google.com/spreadsheets/d/1IYY_tgx_IHuhSq3AJ5eI5OnqOPBNLWSHKh2a30DoXe8/edit?usp=sharing"",""ปัตตานี!L545"")"),0)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IFERROR(__xludf.DUMMYFUNCTION("IMPORTRANGE(""https://docs.google.com/spreadsheets/d/1IYY_tgx_IHuhSq3AJ5eI5OnqOPBNLWSHKh2a30DoXe8/edit?usp=sharing"",""ปัตตานี!M545"")"),0)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IFERROR(__xludf.DUMMYFUNCTION("IMPORTRANGE(""https://docs.google.com/spreadsheets/d/1IYY_tgx_IHuhSq3AJ5eI5OnqOPBNLWSHKh2a30DoXe8/edit?usp=sharing"",""ปัตตานี!I546"")"),0)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IFERROR(__xludf.DUMMYFUNCTION("IMPORTRANGE(""https://docs.google.com/spreadsheets/d/1IYY_tgx_IHuhSq3AJ5eI5OnqOPBNLWSHKh2a30DoXe8/edit?usp=sharing"",""ปัตตานี!L546"")"),0)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IFERROR(__xludf.DUMMYFUNCTION("IMPORTRANGE(""https://docs.google.com/spreadsheets/d/1IYY_tgx_IHuhSq3AJ5eI5OnqOPBNLWSHKh2a30DoXe8/edit?usp=sharing"",""ปัตตานี!M546"")"),0)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IFERROR(__xludf.DUMMYFUNCTION("IMPORTRANGE(""https://docs.google.com/spreadsheets/d/1IYY_tgx_IHuhSq3AJ5eI5OnqOPBNLWSHKh2a30DoXe8/edit?usp=sharing"",""ปัตตานี!J547"")"),0)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IFERROR(__xludf.DUMMYFUNCTION("IMPORTRANGE(""https://docs.google.com/spreadsheets/d/1IYY_tgx_IHuhSq3AJ5eI5OnqOPBNLWSHKh2a30DoXe8/edit?usp=sharing"",""ปัตตานี!J548"")"),0)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IFERROR(__xludf.DUMMYFUNCTION("IMPORTRANGE(""https://docs.google.com/spreadsheets/d/1IYY_tgx_IHuhSq3AJ5eI5OnqOPBNLWSHKh2a30DoXe8/edit?usp=sharing"",""ปัตตานี!J550"")"),0)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IFERROR(__xludf.DUMMYFUNCTION("IMPORTRANGE(""https://docs.google.com/spreadsheets/d/1IYY_tgx_IHuhSq3AJ5eI5OnqOPBNLWSHKh2a30DoXe8/edit?usp=sharing"",""ปัตตานี!J551"")"),0)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IFERROR(__xludf.DUMMYFUNCTION("IMPORTRANGE(""https://docs.google.com/spreadsheets/d/1IYY_tgx_IHuhSq3AJ5eI5OnqOPBNLWSHKh2a30DoXe8/edit?usp=sharing"",""ปัตตานี!J552"")"),0)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IFERROR(__xludf.DUMMYFUNCTION("IMPORTRANGE(""https://docs.google.com/spreadsheets/d/1IYY_tgx_IHuhSq3AJ5eI5OnqOPBNLWSHKh2a30DoXe8/edit?usp=sharing"",""ปัตตานี!J553"")"),0)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IFERROR(__xludf.DUMMYFUNCTION("IMPORTRANGE(""https://docs.google.com/spreadsheets/d/1IYY_tgx_IHuhSq3AJ5eI5OnqOPBNLWSHKh2a30DoXe8/edit?usp=sharing"",""ปัตตานี!J554"")"),0)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IFERROR(__xludf.DUMMYFUNCTION("IMPORTRANGE(""https://docs.google.com/spreadsheets/d/1IYY_tgx_IHuhSq3AJ5eI5OnqOPBNLWSHKh2a30DoXe8/edit?usp=sharing"",""ปัตตานี!J555"")"),0)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IFERROR(__xludf.DUMMYFUNCTION("IMPORTRANGE(""https://docs.google.com/spreadsheets/d/1IYY_tgx_IHuhSq3AJ5eI5OnqOPBNLWSHKh2a30DoXe8/edit?usp=sharing"",""ปัตตานี!J556"")"),0)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IFERROR(__xludf.DUMMYFUNCTION("IMPORTRANGE(""https://docs.google.com/spreadsheets/d/1IYY_tgx_IHuhSq3AJ5eI5OnqOPBNLWSHKh2a30DoXe8/edit?usp=sharing"",""ปัตตานี!L556"")"),0)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IFERROR(__xludf.DUMMYFUNCTION("IMPORTRANGE(""https://docs.google.com/spreadsheets/d/1IYY_tgx_IHuhSq3AJ5eI5OnqOPBNLWSHKh2a30DoXe8/edit?usp=sharing"",""ปัตตานี!M556"")"),0)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IFERROR(__xludf.DUMMYFUNCTION("IMPORTRANGE(""https://docs.google.com/spreadsheets/d/1IYY_tgx_IHuhSq3AJ5eI5OnqOPBNLWSHKh2a30DoXe8/edit?usp=sharing"",""ปัตตานี!J557"")"),0)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IFERROR(__xludf.DUMMYFUNCTION("IMPORTRANGE(""https://docs.google.com/spreadsheets/d/1IYY_tgx_IHuhSq3AJ5eI5OnqOPBNLWSHKh2a30DoXe8/edit?usp=sharing"",""ปัตตานี!I558"")"),0)</f>
        <v>0</v>
      </c>
      <c r="J663" s="547">
        <f ca="1">IFERROR(__xludf.DUMMYFUNCTION("IMPORTRANGE(""https://docs.google.com/spreadsheets/d/1IYY_tgx_IHuhSq3AJ5eI5OnqOPBNLWSHKh2a30DoXe8/edit?usp=sharing"",""ปัตตานี!J558"")"),0)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IFERROR(__xludf.DUMMYFUNCTION("IMPORTRANGE(""https://docs.google.com/spreadsheets/d/1IYY_tgx_IHuhSq3AJ5eI5OnqOPBNLWSHKh2a30DoXe8/edit?usp=sharing"",""ปัตตานี!I560"")"),0)</f>
        <v>0</v>
      </c>
      <c r="J665" s="547">
        <f ca="1">IFERROR(__xludf.DUMMYFUNCTION("IMPORTRANGE(""https://docs.google.com/spreadsheets/d/1IYY_tgx_IHuhSq3AJ5eI5OnqOPBNLWSHKh2a30DoXe8/edit?usp=sharing"",""ปัตตานี!J560"")"),0)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IFERROR(__xludf.DUMMYFUNCTION("IMPORTRANGE(""https://docs.google.com/spreadsheets/d/1IYY_tgx_IHuhSq3AJ5eI5OnqOPBNLWSHKh2a30DoXe8/edit?usp=sharing"",""ปัตตานี!L560"")"),0)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IFERROR(__xludf.DUMMYFUNCTION("IMPORTRANGE(""https://docs.google.com/spreadsheets/d/1IYY_tgx_IHuhSq3AJ5eI5OnqOPBNLWSHKh2a30DoXe8/edit?usp=sharing"",""ปัตตานี!M560"")"),0)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IFERROR(__xludf.DUMMYFUNCTION("IMPORTRANGE(""https://docs.google.com/spreadsheets/d/1IYY_tgx_IHuhSq3AJ5eI5OnqOPBNLWSHKh2a30DoXe8/edit?usp=sharing"",""ปัตตานี!J561"")"),0)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IFERROR(__xludf.DUMMYFUNCTION("IMPORTRANGE(""https://docs.google.com/spreadsheets/d/1IYY_tgx_IHuhSq3AJ5eI5OnqOPBNLWSHKh2a30DoXe8/edit?usp=sharing"",""ปัตตานี!J562"")"),0)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IFERROR(__xludf.DUMMYFUNCTION("IMPORTRANGE(""https://docs.google.com/spreadsheets/d/1IYY_tgx_IHuhSq3AJ5eI5OnqOPBNLWSHKh2a30DoXe8/edit?usp=sharing"",""ปัตตานี!I563"")"),0)</f>
        <v>0</v>
      </c>
      <c r="J668" s="547">
        <f ca="1">IFERROR(__xludf.DUMMYFUNCTION("IMPORTRANGE(""https://docs.google.com/spreadsheets/d/1IYY_tgx_IHuhSq3AJ5eI5OnqOPBNLWSHKh2a30DoXe8/edit?usp=sharing"",""ปัตตานี!J563"")"),0)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IFERROR(__xludf.DUMMYFUNCTION("IMPORTRANGE(""https://docs.google.com/spreadsheets/d/1IYY_tgx_IHuhSq3AJ5eI5OnqOPBNLWSHKh2a30DoXe8/edit?usp=sharing"",""ปัตตานี!L563"")"),0)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IFERROR(__xludf.DUMMYFUNCTION("IMPORTRANGE(""https://docs.google.com/spreadsheets/d/1IYY_tgx_IHuhSq3AJ5eI5OnqOPBNLWSHKh2a30DoXe8/edit?usp=sharing"",""ปัตตานี!M563"")"),0)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IFERROR(__xludf.DUMMYFUNCTION("IMPORTRANGE(""https://docs.google.com/spreadsheets/d/1IYY_tgx_IHuhSq3AJ5eI5OnqOPBNLWSHKh2a30DoXe8/edit?usp=sharing"",""ปัตตานี!J564"")"),0)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IFERROR(__xludf.DUMMYFUNCTION("IMPORTRANGE(""https://docs.google.com/spreadsheets/d/1IYY_tgx_IHuhSq3AJ5eI5OnqOPBNLWSHKh2a30DoXe8/edit?usp=sharing"",""ปัตตานี!J565"")"),0)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IFERROR(__xludf.DUMMYFUNCTION("IMPORTRANGE(""https://docs.google.com/spreadsheets/d/1IYY_tgx_IHuhSq3AJ5eI5OnqOPBNLWSHKh2a30DoXe8/edit?usp=sharing"",""ปัตตานี!I566"")"),0)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IFERROR(__xludf.DUMMYFUNCTION("IMPORTRANGE(""https://docs.google.com/spreadsheets/d/1IYY_tgx_IHuhSq3AJ5eI5OnqOPBNLWSHKh2a30DoXe8/edit?usp=sharing"",""ปัตตานี!L566"")"),0)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IFERROR(__xludf.DUMMYFUNCTION("IMPORTRANGE(""https://docs.google.com/spreadsheets/d/1IYY_tgx_IHuhSq3AJ5eI5OnqOPBNLWSHKh2a30DoXe8/edit?usp=sharing"",""ปัตตานี!M566"")"),0)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IFERROR(__xludf.DUMMYFUNCTION("IMPORTRANGE(""https://docs.google.com/spreadsheets/d/1IYY_tgx_IHuhSq3AJ5eI5OnqOPBNLWSHKh2a30DoXe8/edit?usp=sharing"",""ปัตตานี!J567"")"),0)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IFERROR(__xludf.DUMMYFUNCTION("IMPORTRANGE(""https://docs.google.com/spreadsheets/d/1IYY_tgx_IHuhSq3AJ5eI5OnqOPBNLWSHKh2a30DoXe8/edit?usp=sharing"",""ปัตตานี!J568"")"),0)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IFERROR(__xludf.DUMMYFUNCTION("IMPORTRANGE(""https://docs.google.com/spreadsheets/d/1IYY_tgx_IHuhSq3AJ5eI5OnqOPBNLWSHKh2a30DoXe8/edit?usp=sharing"",""ปัตตานี!J569"")"),0)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IFERROR(__xludf.DUMMYFUNCTION("IMPORTRANGE(""https://docs.google.com/spreadsheets/d/1IYY_tgx_IHuhSq3AJ5eI5OnqOPBNLWSHKh2a30DoXe8/edit?usp=sharing"",""ปัตตานี!J570"")"),0)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IFERROR(__xludf.DUMMYFUNCTION("IMPORTRANGE(""https://docs.google.com/spreadsheets/d/1IYY_tgx_IHuhSq3AJ5eI5OnqOPBNLWSHKh2a30DoXe8/edit?usp=sharing"",""ปัตตานี!J571"")"),0)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IFERROR(__xludf.DUMMYFUNCTION("IMPORTRANGE(""https://docs.google.com/spreadsheets/d/1IYY_tgx_IHuhSq3AJ5eI5OnqOPBNLWSHKh2a30DoXe8/edit?usp=sharing"",""ปัตตานี!J572"")"),0)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273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3450697</v>
      </c>
      <c r="M8" s="23">
        <f t="shared" ca="1" si="0"/>
        <v>2318844</v>
      </c>
      <c r="N8" s="23">
        <f t="shared" ca="1" si="0"/>
        <v>2250801.4</v>
      </c>
      <c r="O8" s="22">
        <f t="shared" ref="O8:O16" ca="1" si="1">IF(L8&gt;0,N8*100/L8,0)</f>
        <v>65.227442455828495</v>
      </c>
      <c r="P8" s="22">
        <f t="shared" ref="P8:P16" ca="1" si="2">IF(M8&gt;0,N8*100/M8,0)</f>
        <v>97.065667203140876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3450697</v>
      </c>
      <c r="M10" s="30">
        <f t="shared" ca="1" si="4"/>
        <v>2318844</v>
      </c>
      <c r="N10" s="30">
        <f t="shared" ca="1" si="4"/>
        <v>2250801.4</v>
      </c>
      <c r="O10" s="29">
        <f t="shared" ca="1" si="1"/>
        <v>65.227442455828495</v>
      </c>
      <c r="P10" s="29">
        <f t="shared" ca="1" si="2"/>
        <v>97.065667203140876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3276497</v>
      </c>
      <c r="M12" s="38">
        <f t="shared" ca="1" si="6"/>
        <v>2144644</v>
      </c>
      <c r="N12" s="38">
        <f t="shared" ca="1" si="6"/>
        <v>2076601.4</v>
      </c>
      <c r="O12" s="38">
        <f t="shared" ca="1" si="1"/>
        <v>63.37870597775612</v>
      </c>
      <c r="P12" s="38">
        <f t="shared" ca="1" si="2"/>
        <v>96.827324255214378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1741200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1535297</v>
      </c>
      <c r="M14" s="38">
        <f t="shared" si="8"/>
        <v>0</v>
      </c>
      <c r="N14" s="38">
        <f t="shared" ca="1" si="8"/>
        <v>711049</v>
      </c>
      <c r="O14" s="41">
        <f t="shared" ca="1" si="1"/>
        <v>46.313449449845862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2380125</v>
      </c>
      <c r="M18" s="23">
        <f t="shared" ca="1" si="11"/>
        <v>2318844</v>
      </c>
      <c r="N18" s="23">
        <f t="shared" ca="1" si="11"/>
        <v>1539752.4</v>
      </c>
      <c r="O18" s="22">
        <f t="shared" ref="O18:O20" ca="1" si="12">IF(L18&gt;0,N18*100/L18,0)</f>
        <v>64.692081298251139</v>
      </c>
      <c r="P18" s="22">
        <f t="shared" ref="P18:P26" ca="1" si="13">IF(M18&gt;0,N18*100/M18,0)</f>
        <v>66.401724307456647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2380125</v>
      </c>
      <c r="M20" s="30">
        <f t="shared" ca="1" si="15"/>
        <v>2318844</v>
      </c>
      <c r="N20" s="30">
        <f t="shared" ca="1" si="15"/>
        <v>1539752.4</v>
      </c>
      <c r="O20" s="29">
        <f t="shared" ca="1" si="12"/>
        <v>64.692081298251139</v>
      </c>
      <c r="P20" s="29">
        <f t="shared" ca="1" si="13"/>
        <v>66.401724307456647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2205925</v>
      </c>
      <c r="M22" s="42">
        <f t="shared" ca="1" si="18"/>
        <v>2144644</v>
      </c>
      <c r="N22" s="41">
        <f t="shared" ca="1" si="18"/>
        <v>1365552.4</v>
      </c>
      <c r="O22" s="41">
        <f t="shared" ca="1" si="17"/>
        <v>61.903845325657038</v>
      </c>
      <c r="P22" s="41">
        <f t="shared" ca="1" si="13"/>
        <v>63.672684137786973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1741200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464725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1070572</v>
      </c>
      <c r="M28" s="23">
        <f t="shared" si="23"/>
        <v>0</v>
      </c>
      <c r="N28" s="23">
        <f t="shared" ca="1" si="23"/>
        <v>711049</v>
      </c>
      <c r="O28" s="22">
        <f t="shared" ref="O28:O30" ca="1" si="24">IF(L28&gt;0,N28*100/L28,0)</f>
        <v>66.417672048213475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1070572</v>
      </c>
      <c r="M30" s="30">
        <f t="shared" si="27"/>
        <v>0</v>
      </c>
      <c r="N30" s="30">
        <f t="shared" ca="1" si="27"/>
        <v>711049</v>
      </c>
      <c r="O30" s="29">
        <f t="shared" ca="1" si="24"/>
        <v>66.417672048213475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1070572</v>
      </c>
      <c r="M32" s="41">
        <f t="shared" si="30"/>
        <v>0</v>
      </c>
      <c r="N32" s="41">
        <f t="shared" ca="1" si="30"/>
        <v>711049</v>
      </c>
      <c r="O32" s="41">
        <f t="shared" ca="1" si="29"/>
        <v>66.417672048213475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1070572</v>
      </c>
      <c r="M34" s="41">
        <f t="shared" si="32"/>
        <v>0</v>
      </c>
      <c r="N34" s="41">
        <f t="shared" ca="1" si="32"/>
        <v>711049</v>
      </c>
      <c r="O34" s="41">
        <f t="shared" ca="1" si="29"/>
        <v>66.417672048213475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2380125</v>
      </c>
      <c r="M37" s="55">
        <f t="shared" ca="1" si="33"/>
        <v>2318844</v>
      </c>
      <c r="N37" s="55">
        <f t="shared" ca="1" si="33"/>
        <v>1539752.4</v>
      </c>
      <c r="O37" s="56">
        <f t="shared" ca="1" si="29"/>
        <v>64.692081298251139</v>
      </c>
      <c r="P37" s="56">
        <f t="shared" ca="1" si="25"/>
        <v>66.401724307456647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915600</v>
      </c>
      <c r="M41" s="79">
        <f t="shared" ca="1" si="34"/>
        <v>942600</v>
      </c>
      <c r="N41" s="79">
        <f t="shared" ca="1" si="34"/>
        <v>691748.15</v>
      </c>
      <c r="O41" s="78">
        <f t="shared" ref="O41:O43" ca="1" si="35">IF(L41&gt;0,N41*100/L41,0)</f>
        <v>75.551348842289215</v>
      </c>
      <c r="P41" s="78">
        <f t="shared" ref="P41:P43" ca="1" si="36">IF(M41&gt;0,N41*100/M41,0)</f>
        <v>73.38724273286654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915600</v>
      </c>
      <c r="M43" s="79">
        <f t="shared" ca="1" si="38"/>
        <v>942600</v>
      </c>
      <c r="N43" s="79">
        <f t="shared" ca="1" si="38"/>
        <v>691748.15</v>
      </c>
      <c r="O43" s="78">
        <f t="shared" ca="1" si="35"/>
        <v>75.551348842289215</v>
      </c>
      <c r="P43" s="78">
        <f t="shared" ca="1" si="36"/>
        <v>73.38724273286654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915600</v>
      </c>
      <c r="M45" s="91">
        <f ca="1">IFERROR(__xludf.DUMMYFUNCTION("IMPORTRANGE(""https://docs.google.com/spreadsheets/d/1Yj_ptqi66GCucihVvJfMjLAmec39IyEx_6qawtMGysU/edit?usp=sharing"",""สบก!Q87"")"),942600)</f>
        <v>942600</v>
      </c>
      <c r="N45" s="91">
        <f ca="1">IFERROR(__xludf.DUMMYFUNCTION("IMPORTRANGE(""https://docs.google.com/spreadsheets/d/1Yj_ptqi66GCucihVvJfMjLAmec39IyEx_6qawtMGysU/edit?usp=sharing"",""สบก!R87"")"),691748.15)</f>
        <v>691748.15</v>
      </c>
      <c r="O45" s="92">
        <f ca="1">IF(L45&gt;0,N45*100/L45,0)</f>
        <v>75.551348842289215</v>
      </c>
      <c r="P45" s="92">
        <f ca="1">IF(M45&gt;0,N45*100/M45,0)</f>
        <v>73.38724273286654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IFERROR(__xludf.DUMMYFUNCTION("IMPORTRANGE(""https://docs.google.com/spreadsheets/d/1Yj_ptqi66GCucihVvJfMjLAmec39IyEx_6qawtMGysU/edit?usp=sharing"",""สบก!M87"")"),915600)</f>
        <v>915600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201600</v>
      </c>
      <c r="M53" s="125">
        <f t="shared" ca="1" si="39"/>
        <v>210316</v>
      </c>
      <c r="N53" s="125">
        <f t="shared" ca="1" si="39"/>
        <v>170936</v>
      </c>
      <c r="O53" s="124">
        <f t="shared" ref="O53:O55" ca="1" si="40">IF(L53&gt;0,N53*100/L53,0)</f>
        <v>84.789682539682545</v>
      </c>
      <c r="P53" s="124">
        <f t="shared" ref="P53:P55" ca="1" si="41">IF(M53&gt;0,N53*100/M53,0)</f>
        <v>81.275794518724211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201600</v>
      </c>
      <c r="M55" s="125">
        <f t="shared" ca="1" si="43"/>
        <v>210316</v>
      </c>
      <c r="N55" s="125">
        <f t="shared" ca="1" si="43"/>
        <v>170936</v>
      </c>
      <c r="O55" s="124">
        <f t="shared" ca="1" si="40"/>
        <v>84.789682539682545</v>
      </c>
      <c r="P55" s="124">
        <f t="shared" ca="1" si="41"/>
        <v>81.275794518724211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201600</v>
      </c>
      <c r="M57" s="91">
        <f ca="1">IFERROR(__xludf.DUMMYFUNCTION("IMPORTRANGE(""https://docs.google.com/spreadsheets/d/1Yj_ptqi66GCucihVvJfMjLAmec39IyEx_6qawtMGysU/edit?usp=sharing"",""สบก!Z87"")"),210316)</f>
        <v>210316</v>
      </c>
      <c r="N57" s="91">
        <f ca="1">IFERROR(__xludf.DUMMYFUNCTION("IMPORTRANGE(""https://docs.google.com/spreadsheets/d/1Yj_ptqi66GCucihVvJfMjLAmec39IyEx_6qawtMGysU/edit?usp=sharing"",""สบก!AA87"")"),170936)</f>
        <v>170936</v>
      </c>
      <c r="O57" s="92">
        <f ca="1">IF(L57&gt;0,N57*100/L57,0)</f>
        <v>84.789682539682545</v>
      </c>
      <c r="P57" s="92">
        <f ca="1">IF(M57&gt;0,N57*100/M57,0)</f>
        <v>81.275794518724211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IFERROR(__xludf.DUMMYFUNCTION("IMPORTRANGE(""https://docs.google.com/spreadsheets/d/1Yj_ptqi66GCucihVvJfMjLAmec39IyEx_6qawtMGysU/edit?usp=sharing"",""สบก!V87"")"),201600)</f>
        <v>201600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IFERROR(__xludf.DUMMYFUNCTION("IMPORTRANGE(""https://docs.google.com/spreadsheets/d/1Yj_ptqi66GCucihVvJfMjLAmec39IyEx_6qawtMGysU/edit?usp=sharing"",""สบก!AI87"")"),0)</f>
        <v>0</v>
      </c>
      <c r="N70" s="174">
        <f ca="1">IFERROR(__xludf.DUMMYFUNCTION("IMPORTRANGE(""https://docs.google.com/spreadsheets/d/1Yj_ptqi66GCucihVvJfMjLAmec39IyEx_6qawtMGysU/edit?usp=sharing"",""สบก!AJ87"")"),0)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IFERROR(__xludf.DUMMYFUNCTION("IMPORTRANGE(""https://docs.google.com/spreadsheets/d/1Yj_ptqi66GCucihVvJfMjLAmec39IyEx_6qawtMGysU/edit?usp=sharing"",""สบก!AE87"")"),0)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IFERROR(__xludf.DUMMYFUNCTION("IMPORTRANGE(""https://docs.google.com/spreadsheets/d/1Yj_ptqi66GCucihVvJfMjLAmec39IyEx_6qawtMGysU/edit?usp=sharing"",""สบก!AF87"")"),0)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IFERROR(__xludf.DUMMYFUNCTION("IMPORTRANGE(""https://docs.google.com/spreadsheets/d/1IYY_tgx_IHuhSq3AJ5eI5OnqOPBNLWSHKh2a30DoXe8/edit?usp=sharing"",""พังงา!J16"")"),0)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IFERROR(__xludf.DUMMYFUNCTION("IMPORTRANGE(""https://docs.google.com/spreadsheets/d/1IYY_tgx_IHuhSq3AJ5eI5OnqOPBNLWSHKh2a30DoXe8/edit?usp=sharing"",""พังงา!J17"")"),0)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IFERROR(__xludf.DUMMYFUNCTION("IMPORTRANGE(""https://docs.google.com/spreadsheets/d/1IYY_tgx_IHuhSq3AJ5eI5OnqOPBNLWSHKh2a30DoXe8/edit?usp=sharing"",""พังงา!J18"")"),0)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IFERROR(__xludf.DUMMYFUNCTION("IMPORTRANGE(""https://docs.google.com/spreadsheets/d/1IYY_tgx_IHuhSq3AJ5eI5OnqOPBNLWSHKh2a30DoXe8/edit?usp=sharing"",""พังงา!J19"")"),0)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IFERROR(__xludf.DUMMYFUNCTION("IMPORTRANGE(""https://docs.google.com/spreadsheets/d/1IYY_tgx_IHuhSq3AJ5eI5OnqOPBNLWSHKh2a30DoXe8/edit?usp=sharing"",""พังงา!I20"")"),0)</f>
        <v>0</v>
      </c>
      <c r="J80" s="207">
        <f ca="1">IFERROR(__xludf.DUMMYFUNCTION("IMPORTRANGE(""https://docs.google.com/spreadsheets/d/1IYY_tgx_IHuhSq3AJ5eI5OnqOPBNLWSHKh2a30DoXe8/edit?usp=sharing"",""พังงา!J20"")"),0)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IFERROR(__xludf.DUMMYFUNCTION("IMPORTRANGE(""https://docs.google.com/spreadsheets/d/1IYY_tgx_IHuhSq3AJ5eI5OnqOPBNLWSHKh2a30DoXe8/edit?usp=sharing"",""พังงา!I21"")"),0)</f>
        <v>0</v>
      </c>
      <c r="J81" s="207">
        <f ca="1">IFERROR(__xludf.DUMMYFUNCTION("IMPORTRANGE(""https://docs.google.com/spreadsheets/d/1IYY_tgx_IHuhSq3AJ5eI5OnqOPBNLWSHKh2a30DoXe8/edit?usp=sharing"",""พังงา!J21"")"),0)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IFERROR(__xludf.DUMMYFUNCTION("IMPORTRANGE(""https://docs.google.com/spreadsheets/d/1IYY_tgx_IHuhSq3AJ5eI5OnqOPBNLWSHKh2a30DoXe8/edit?usp=sharing"",""พังงา!I22"")"),0)</f>
        <v>0</v>
      </c>
      <c r="J82" s="210">
        <f ca="1">IFERROR(__xludf.DUMMYFUNCTION("IMPORTRANGE(""https://docs.google.com/spreadsheets/d/1IYY_tgx_IHuhSq3AJ5eI5OnqOPBNLWSHKh2a30DoXe8/edit?usp=sharing"",""พังงา!J22"")"),0)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IFERROR(__xludf.DUMMYFUNCTION("IMPORTRANGE(""https://docs.google.com/spreadsheets/d/1IYY_tgx_IHuhSq3AJ5eI5OnqOPBNLWSHKh2a30DoXe8/edit?usp=sharing"",""พังงา!I23"")"),0)</f>
        <v>0</v>
      </c>
      <c r="J83" s="210">
        <f ca="1">IFERROR(__xludf.DUMMYFUNCTION("IMPORTRANGE(""https://docs.google.com/spreadsheets/d/1IYY_tgx_IHuhSq3AJ5eI5OnqOPBNLWSHKh2a30DoXe8/edit?usp=sharing"",""พังงา!J23"")"),0)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IFERROR(__xludf.DUMMYFUNCTION("IMPORTRANGE(""https://docs.google.com/spreadsheets/d/1IYY_tgx_IHuhSq3AJ5eI5OnqOPBNLWSHKh2a30DoXe8/edit?usp=sharing"",""พังงา!I24"")"),0)</f>
        <v>0</v>
      </c>
      <c r="J84" s="195">
        <f ca="1">IFERROR(__xludf.DUMMYFUNCTION("IMPORTRANGE(""https://docs.google.com/spreadsheets/d/1IYY_tgx_IHuhSq3AJ5eI5OnqOPBNLWSHKh2a30DoXe8/edit?usp=sharing"",""พังงา!J24"")"),0)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IFERROR(__xludf.DUMMYFUNCTION("IMPORTRANGE(""https://docs.google.com/spreadsheets/d/1IYY_tgx_IHuhSq3AJ5eI5OnqOPBNLWSHKh2a30DoXe8/edit?usp=sharing"",""พังงา!I25"")"),0)</f>
        <v>0</v>
      </c>
      <c r="J85" s="195">
        <f ca="1">IFERROR(__xludf.DUMMYFUNCTION("IMPORTRANGE(""https://docs.google.com/spreadsheets/d/1IYY_tgx_IHuhSq3AJ5eI5OnqOPBNLWSHKh2a30DoXe8/edit?usp=sharing"",""พังงา!J25"")"),0)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IFERROR(__xludf.DUMMYFUNCTION("IMPORTRANGE(""https://docs.google.com/spreadsheets/d/1IYY_tgx_IHuhSq3AJ5eI5OnqOPBNLWSHKh2a30DoXe8/edit?usp=sharing"",""พังงา!I26"")"),0)</f>
        <v>0</v>
      </c>
      <c r="J86" s="210">
        <f ca="1">IFERROR(__xludf.DUMMYFUNCTION("IMPORTRANGE(""https://docs.google.com/spreadsheets/d/1IYY_tgx_IHuhSq3AJ5eI5OnqOPBNLWSHKh2a30DoXe8/edit?usp=sharing"",""พังงา!J26"")"),0)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IFERROR(__xludf.DUMMYFUNCTION("IMPORTRANGE(""https://docs.google.com/spreadsheets/d/1IYY_tgx_IHuhSq3AJ5eI5OnqOPBNLWSHKh2a30DoXe8/edit?usp=sharing"",""พังงา!I27"")"),0)</f>
        <v>0</v>
      </c>
      <c r="J87" s="210">
        <f ca="1">IFERROR(__xludf.DUMMYFUNCTION("IMPORTRANGE(""https://docs.google.com/spreadsheets/d/1IYY_tgx_IHuhSq3AJ5eI5OnqOPBNLWSHKh2a30DoXe8/edit?usp=sharing"",""พังงา!J27"")"),0)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IFERROR(__xludf.DUMMYFUNCTION("IMPORTRANGE(""https://docs.google.com/spreadsheets/d/1IYY_tgx_IHuhSq3AJ5eI5OnqOPBNLWSHKh2a30DoXe8/edit?usp=sharing"",""พังงา!I28"")"),0)</f>
        <v>0</v>
      </c>
      <c r="J88" s="210">
        <f ca="1">IFERROR(__xludf.DUMMYFUNCTION("IMPORTRANGE(""https://docs.google.com/spreadsheets/d/1IYY_tgx_IHuhSq3AJ5eI5OnqOPBNLWSHKh2a30DoXe8/edit?usp=sharing"",""พังงา!J28"")"),0)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IFERROR(__xludf.DUMMYFUNCTION("IMPORTRANGE(""https://docs.google.com/spreadsheets/d/1IYY_tgx_IHuhSq3AJ5eI5OnqOPBNLWSHKh2a30DoXe8/edit?usp=sharing"",""พังงา!J29"")"),0)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IFERROR(__xludf.DUMMYFUNCTION("IMPORTRANGE(""https://docs.google.com/spreadsheets/d/1IYY_tgx_IHuhSq3AJ5eI5OnqOPBNLWSHKh2a30DoXe8/edit?usp=sharing"",""พังงา!J30"")"),0)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IFERROR(__xludf.DUMMYFUNCTION("IMPORTRANGE(""https://docs.google.com/spreadsheets/d/1Yj_ptqi66GCucihVvJfMjLAmec39IyEx_6qawtMGysU/edit?usp=sharing"",""สบก!AR87"")"),0)</f>
        <v>0</v>
      </c>
      <c r="N98" s="174">
        <f ca="1">IFERROR(__xludf.DUMMYFUNCTION("IMPORTRANGE(""https://docs.google.com/spreadsheets/d/1Yj_ptqi66GCucihVvJfMjLAmec39IyEx_6qawtMGysU/edit?usp=sharing"",""สบก!AS87"")"),0)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IFERROR(__xludf.DUMMYFUNCTION("IMPORTRANGE(""https://docs.google.com/spreadsheets/d/1Yj_ptqi66GCucihVvJfMjLAmec39IyEx_6qawtMGysU/edit?usp=sharing"",""สบก!AN87"")"),0)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IFERROR(__xludf.DUMMYFUNCTION("IMPORTRANGE(""https://docs.google.com/spreadsheets/d/1Yj_ptqi66GCucihVvJfMjLAmec39IyEx_6qawtMGysU/edit?usp=sharing"",""สบก!AO87"")"),0)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IFERROR(__xludf.DUMMYFUNCTION("IMPORTRANGE(""https://docs.google.com/spreadsheets/d/1IYY_tgx_IHuhSq3AJ5eI5OnqOPBNLWSHKh2a30DoXe8/edit?usp=sharing"",""พังงา!J39"")"),0)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IFERROR(__xludf.DUMMYFUNCTION("IMPORTRANGE(""https://docs.google.com/spreadsheets/d/1IYY_tgx_IHuhSq3AJ5eI5OnqOPBNLWSHKh2a30DoXe8/edit?usp=sharing"",""พังงา!J40"")"),0)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IFERROR(__xludf.DUMMYFUNCTION("IMPORTRANGE(""https://docs.google.com/spreadsheets/d/1IYY_tgx_IHuhSq3AJ5eI5OnqOPBNLWSHKh2a30DoXe8/edit?usp=sharing"",""พังงา!J41"")"),0)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IFERROR(__xludf.DUMMYFUNCTION("IMPORTRANGE(""https://docs.google.com/spreadsheets/d/1IYY_tgx_IHuhSq3AJ5eI5OnqOPBNLWSHKh2a30DoXe8/edit?usp=sharing"",""พังงา!J42"")"),0)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IFERROR(__xludf.DUMMYFUNCTION("IMPORTRANGE(""https://docs.google.com/spreadsheets/d/1IYY_tgx_IHuhSq3AJ5eI5OnqOPBNLWSHKh2a30DoXe8/edit?usp=sharing"",""พังงา!I43"")"),0)</f>
        <v>0</v>
      </c>
      <c r="J108" s="210">
        <f ca="1">IFERROR(__xludf.DUMMYFUNCTION("IMPORTRANGE(""https://docs.google.com/spreadsheets/d/1IYY_tgx_IHuhSq3AJ5eI5OnqOPBNLWSHKh2a30DoXe8/edit?usp=sharing"",""พังงา!J43"")"),0)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IFERROR(__xludf.DUMMYFUNCTION("IMPORTRANGE(""https://docs.google.com/spreadsheets/d/1IYY_tgx_IHuhSq3AJ5eI5OnqOPBNLWSHKh2a30DoXe8/edit?usp=sharing"",""พังงา!I44"")"),0)</f>
        <v>0</v>
      </c>
      <c r="J109" s="210">
        <f ca="1">IFERROR(__xludf.DUMMYFUNCTION("IMPORTRANGE(""https://docs.google.com/spreadsheets/d/1IYY_tgx_IHuhSq3AJ5eI5OnqOPBNLWSHKh2a30DoXe8/edit?usp=sharing"",""พังงา!J44"")"),0)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IFERROR(__xludf.DUMMYFUNCTION("IMPORTRANGE(""https://docs.google.com/spreadsheets/d/1IYY_tgx_IHuhSq3AJ5eI5OnqOPBNLWSHKh2a30DoXe8/edit?usp=sharing"",""พังงา!I45"")"),0)</f>
        <v>0</v>
      </c>
      <c r="J110" s="210">
        <f ca="1">IFERROR(__xludf.DUMMYFUNCTION("IMPORTRANGE(""https://docs.google.com/spreadsheets/d/1IYY_tgx_IHuhSq3AJ5eI5OnqOPBNLWSHKh2a30DoXe8/edit?usp=sharing"",""พังงา!J45"")"),0)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IFERROR(__xludf.DUMMYFUNCTION("IMPORTRANGE(""https://docs.google.com/spreadsheets/d/1IYY_tgx_IHuhSq3AJ5eI5OnqOPBNLWSHKh2a30DoXe8/edit?usp=sharing"",""พังงา!I46"")"),0)</f>
        <v>0</v>
      </c>
      <c r="J111" s="210">
        <f ca="1">IFERROR(__xludf.DUMMYFUNCTION("IMPORTRANGE(""https://docs.google.com/spreadsheets/d/1IYY_tgx_IHuhSq3AJ5eI5OnqOPBNLWSHKh2a30DoXe8/edit?usp=sharing"",""พังงา!J46"")"),0)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IFERROR(__xludf.DUMMYFUNCTION("IMPORTRANGE(""https://docs.google.com/spreadsheets/d/1IYY_tgx_IHuhSq3AJ5eI5OnqOPBNLWSHKh2a30DoXe8/edit?usp=sharing"",""พังงา!I47"")"),0)</f>
        <v>0</v>
      </c>
      <c r="J112" s="210">
        <f ca="1">IFERROR(__xludf.DUMMYFUNCTION("IMPORTRANGE(""https://docs.google.com/spreadsheets/d/1IYY_tgx_IHuhSq3AJ5eI5OnqOPBNLWSHKh2a30DoXe8/edit?usp=sharing"",""พังงา!J47"")"),0)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IFERROR(__xludf.DUMMYFUNCTION("IMPORTRANGE(""https://docs.google.com/spreadsheets/d/1IYY_tgx_IHuhSq3AJ5eI5OnqOPBNLWSHKh2a30DoXe8/edit?usp=sharing"",""พังงา!I48"")"),0)</f>
        <v>0</v>
      </c>
      <c r="J113" s="210">
        <f ca="1">IFERROR(__xludf.DUMMYFUNCTION("IMPORTRANGE(""https://docs.google.com/spreadsheets/d/1IYY_tgx_IHuhSq3AJ5eI5OnqOPBNLWSHKh2a30DoXe8/edit?usp=sharing"",""พังงา!J48"")"),0)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IFERROR(__xludf.DUMMYFUNCTION("IMPORTRANGE(""https://docs.google.com/spreadsheets/d/1IYY_tgx_IHuhSq3AJ5eI5OnqOPBNLWSHKh2a30DoXe8/edit?usp=sharing"",""พังงา!J49"")"),0)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IFERROR(__xludf.DUMMYFUNCTION("IMPORTRANGE(""https://docs.google.com/spreadsheets/d/1IYY_tgx_IHuhSq3AJ5eI5OnqOPBNLWSHKh2a30DoXe8/edit?usp=sharing"",""พังงา!J50"")"),0)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71790</v>
      </c>
      <c r="N118" s="156">
        <f t="shared" ca="1" si="58"/>
        <v>40300</v>
      </c>
      <c r="O118" s="155">
        <f t="shared" ref="O118:O120" ca="1" si="59">IF(L118&gt;0,N118*100/L118,0)</f>
        <v>62.105100940052395</v>
      </c>
      <c r="P118" s="155">
        <f t="shared" ref="P118:P120" ca="1" si="60">IF(M118&gt;0,N118*100/M118,0)</f>
        <v>56.135952082462737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71790</v>
      </c>
      <c r="N120" s="161">
        <f t="shared" ca="1" si="62"/>
        <v>40300</v>
      </c>
      <c r="O120" s="160">
        <f t="shared" ca="1" si="59"/>
        <v>62.105100940052395</v>
      </c>
      <c r="P120" s="160">
        <f t="shared" ca="1" si="60"/>
        <v>56.135952082462737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IFERROR(__xludf.DUMMYFUNCTION("IMPORTRANGE(""https://docs.google.com/spreadsheets/d/1Yj_ptqi66GCucihVvJfMjLAmec39IyEx_6qawtMGysU/edit?usp=sharing"",""สบก!BA87"")"),71790)</f>
        <v>71790</v>
      </c>
      <c r="N122" s="174">
        <f ca="1">IFERROR(__xludf.DUMMYFUNCTION("IMPORTRANGE(""https://docs.google.com/spreadsheets/d/1Yj_ptqi66GCucihVvJfMjLAmec39IyEx_6qawtMGysU/edit?usp=sharing"",""สบก!BB87"")"),40300)</f>
        <v>40300</v>
      </c>
      <c r="O122" s="175">
        <f ca="1">IF(L122&gt;0,N122*100/L122,0)</f>
        <v>62.105100940052395</v>
      </c>
      <c r="P122" s="175">
        <f ca="1">IF(M122&gt;0,N122*100/M122,0)</f>
        <v>56.135952082462737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IFERROR(__xludf.DUMMYFUNCTION("IMPORTRANGE(""https://docs.google.com/spreadsheets/d/1Yj_ptqi66GCucihVvJfMjLAmec39IyEx_6qawtMGysU/edit?usp=sharing"",""สบก!AW87"")"),0)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IFERROR(__xludf.DUMMYFUNCTION("IMPORTRANGE(""https://docs.google.com/spreadsheets/d/1Yj_ptqi66GCucihVvJfMjLAmec39IyEx_6qawtMGysU/edit?usp=sharing"",""สบก!AX87"")"),64890)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274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IFERROR(__xludf.DUMMYFUNCTION("IMPORTRANGE(""https://docs.google.com/spreadsheets/d/1IYY_tgx_IHuhSq3AJ5eI5OnqOPBNLWSHKh2a30DoXe8/edit?usp=sharing"",""พังงา!J58"")"),0)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IFERROR(__xludf.DUMMYFUNCTION("IMPORTRANGE(""https://docs.google.com/spreadsheets/d/1IYY_tgx_IHuhSq3AJ5eI5OnqOPBNLWSHKh2a30DoXe8/edit?usp=sharing"",""พังงา!J59"")"),1)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IFERROR(__xludf.DUMMYFUNCTION("IMPORTRANGE(""https://docs.google.com/spreadsheets/d/1IYY_tgx_IHuhSq3AJ5eI5OnqOPBNLWSHKh2a30DoXe8/edit?usp=sharing"",""พังงา!J60"")"),1)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IFERROR(__xludf.DUMMYFUNCTION("IMPORTRANGE(""https://docs.google.com/spreadsheets/d/1IYY_tgx_IHuhSq3AJ5eI5OnqOPBNLWSHKh2a30DoXe8/edit?usp=sharing"",""พังงา!J61"")"),1)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IFERROR(__xludf.DUMMYFUNCTION("IMPORTRANGE(""https://docs.google.com/spreadsheets/d/1IYY_tgx_IHuhSq3AJ5eI5OnqOPBNLWSHKh2a30DoXe8/edit?usp=sharing"",""พังงา!I62"")"),15)</f>
        <v>15</v>
      </c>
      <c r="J132" s="210">
        <f ca="1">IFERROR(__xludf.DUMMYFUNCTION("IMPORTRANGE(""https://docs.google.com/spreadsheets/d/1IYY_tgx_IHuhSq3AJ5eI5OnqOPBNLWSHKh2a30DoXe8/edit?usp=sharing"",""พังงา!J62"")"),15)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IFERROR(__xludf.DUMMYFUNCTION("IMPORTRANGE(""https://docs.google.com/spreadsheets/d/1IYY_tgx_IHuhSq3AJ5eI5OnqOPBNLWSHKh2a30DoXe8/edit?usp=sharing"",""พังงา!I63"")"),15)</f>
        <v>15</v>
      </c>
      <c r="J133" s="210">
        <f ca="1">IFERROR(__xludf.DUMMYFUNCTION("IMPORTRANGE(""https://docs.google.com/spreadsheets/d/1IYY_tgx_IHuhSq3AJ5eI5OnqOPBNLWSHKh2a30DoXe8/edit?usp=sharing"",""พังงา!J63"")"),15)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IFERROR(__xludf.DUMMYFUNCTION("IMPORTRANGE(""https://docs.google.com/spreadsheets/d/1IYY_tgx_IHuhSq3AJ5eI5OnqOPBNLWSHKh2a30DoXe8/edit?usp=sharing"",""พังงา!J64"")"),0)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IFERROR(__xludf.DUMMYFUNCTION("IMPORTRANGE(""https://docs.google.com/spreadsheets/d/1IYY_tgx_IHuhSq3AJ5eI5OnqOPBNLWSHKh2a30DoXe8/edit?usp=sharing"",""พังงา!J65"")"),0)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IFERROR(__xludf.DUMMYFUNCTION("IMPORTRANGE(""https://docs.google.com/spreadsheets/d/1IYY_tgx_IHuhSq3AJ5eI5OnqOPBNLWSHKh2a30DoXe8/edit?usp=sharing"",""พังงา!I68"")"),0)</f>
        <v>0</v>
      </c>
      <c r="J138" s="273">
        <f ca="1">IFERROR(__xludf.DUMMYFUNCTION("IMPORTRANGE(""https://docs.google.com/spreadsheets/d/1IYY_tgx_IHuhSq3AJ5eI5OnqOPBNLWSHKh2a30DoXe8/edit?usp=sharing"",""พังงา!J68"")"),0)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72500</v>
      </c>
      <c r="M140" s="156">
        <f t="shared" ca="1" si="64"/>
        <v>77953</v>
      </c>
      <c r="N140" s="156">
        <f t="shared" ca="1" si="64"/>
        <v>66203</v>
      </c>
      <c r="O140" s="155">
        <f t="shared" ref="O140:O142" ca="1" si="65">IF(L140&gt;0,N140*100/L140,0)</f>
        <v>91.314482758620684</v>
      </c>
      <c r="P140" s="155">
        <f t="shared" ref="P140:P142" ca="1" si="66">IF(M140&gt;0,N140*100/M140,0)</f>
        <v>84.926814875630185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72500</v>
      </c>
      <c r="M142" s="161">
        <f t="shared" ca="1" si="68"/>
        <v>77953</v>
      </c>
      <c r="N142" s="161">
        <f t="shared" ca="1" si="68"/>
        <v>66203</v>
      </c>
      <c r="O142" s="160">
        <f t="shared" ca="1" si="65"/>
        <v>91.314482758620684</v>
      </c>
      <c r="P142" s="160">
        <f t="shared" ca="1" si="66"/>
        <v>84.926814875630185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72500</v>
      </c>
      <c r="M144" s="173">
        <f ca="1">IFERROR(__xludf.DUMMYFUNCTION("IMPORTRANGE(""https://docs.google.com/spreadsheets/d/1Yj_ptqi66GCucihVvJfMjLAmec39IyEx_6qawtMGysU/edit?usp=sharing"",""สบก!BJ87"")"),77953)</f>
        <v>77953</v>
      </c>
      <c r="N144" s="174">
        <f ca="1">IFERROR(__xludf.DUMMYFUNCTION("IMPORTRANGE(""https://docs.google.com/spreadsheets/d/1Yj_ptqi66GCucihVvJfMjLAmec39IyEx_6qawtMGysU/edit?usp=sharing"",""สบก!BK87"")"),66203)</f>
        <v>66203</v>
      </c>
      <c r="O144" s="175">
        <f ca="1">IF(L144&gt;0,N144*100/L144,0)</f>
        <v>91.314482758620684</v>
      </c>
      <c r="P144" s="175">
        <f ca="1">IF(M144&gt;0,N144*100/M144,0)</f>
        <v>84.926814875630185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IFERROR(__xludf.DUMMYFUNCTION("IMPORTRANGE(""https://docs.google.com/spreadsheets/d/1Yj_ptqi66GCucihVvJfMjLAmec39IyEx_6qawtMGysU/edit?usp=sharing"",""สบก!BF87"")"),0)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IFERROR(__xludf.DUMMYFUNCTION("IMPORTRANGE(""https://docs.google.com/spreadsheets/d/1Yj_ptqi66GCucihVvJfMjLAmec39IyEx_6qawtMGysU/edit?usp=sharing"",""สบก!BG87"")"),72500)</f>
        <v>72500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IFERROR(__xludf.DUMMYFUNCTION("IMPORTRANGE(""https://docs.google.com/spreadsheets/d/1IYY_tgx_IHuhSq3AJ5eI5OnqOPBNLWSHKh2a30DoXe8/edit?usp=sharing"",""พังงา!I74"")"),4)</f>
        <v>4</v>
      </c>
      <c r="J149" s="281">
        <f ca="1">IFERROR(__xludf.DUMMYFUNCTION("IMPORTRANGE(""https://docs.google.com/spreadsheets/d/1IYY_tgx_IHuhSq3AJ5eI5OnqOPBNLWSHKh2a30DoXe8/edit?usp=sharing"",""พังงา!J74"")"),3)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IFERROR(__xludf.DUMMYFUNCTION("IMPORTRANGE(""https://docs.google.com/spreadsheets/d/1IYY_tgx_IHuhSq3AJ5eI5OnqOPBNLWSHKh2a30DoXe8/edit?usp=sharing"",""พังงา!J79"")"),0)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IFERROR(__xludf.DUMMYFUNCTION("IMPORTRANGE(""https://docs.google.com/spreadsheets/d/1IYY_tgx_IHuhSq3AJ5eI5OnqOPBNLWSHKh2a30DoXe8/edit?usp=sharing"",""พังงา!J80"")"),1)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IFERROR(__xludf.DUMMYFUNCTION("IMPORTRANGE(""https://docs.google.com/spreadsheets/d/1IYY_tgx_IHuhSq3AJ5eI5OnqOPBNLWSHKh2a30DoXe8/edit?usp=sharing"",""พังงา!J81"")"),1)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IFERROR(__xludf.DUMMYFUNCTION("IMPORTRANGE(""https://docs.google.com/spreadsheets/d/1IYY_tgx_IHuhSq3AJ5eI5OnqOPBNLWSHKh2a30DoXe8/edit?usp=sharing"",""พังงา!J82"")"),1)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IFERROR(__xludf.DUMMYFUNCTION("IMPORTRANGE(""https://docs.google.com/spreadsheets/d/1IYY_tgx_IHuhSq3AJ5eI5OnqOPBNLWSHKh2a30DoXe8/edit?usp=sharing"",""พังงา!I83"")"),4)</f>
        <v>4</v>
      </c>
      <c r="J158" s="195">
        <f ca="1">IFERROR(__xludf.DUMMYFUNCTION("IMPORTRANGE(""https://docs.google.com/spreadsheets/d/1IYY_tgx_IHuhSq3AJ5eI5OnqOPBNLWSHKh2a30DoXe8/edit?usp=sharing"",""พังงา!J83"")"),3)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IFERROR(__xludf.DUMMYFUNCTION("IMPORTRANGE(""https://docs.google.com/spreadsheets/d/1IYY_tgx_IHuhSq3AJ5eI5OnqOPBNLWSHKh2a30DoXe8/edit?usp=sharing"",""พังงา!J84"")"),129)</f>
        <v>129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IFERROR(__xludf.DUMMYFUNCTION("IMPORTRANGE(""https://docs.google.com/spreadsheets/d/1IYY_tgx_IHuhSq3AJ5eI5OnqOPBNLWSHKh2a30DoXe8/edit?usp=sharing"",""พังงา!J85"")"),129)</f>
        <v>129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IFERROR(__xludf.DUMMYFUNCTION("IMPORTRANGE(""https://docs.google.com/spreadsheets/d/1IYY_tgx_IHuhSq3AJ5eI5OnqOPBNLWSHKh2a30DoXe8/edit?usp=sharing"",""พังงา!J87"")"),0)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IFERROR(__xludf.DUMMYFUNCTION("IMPORTRANGE(""https://docs.google.com/spreadsheets/d/1IYY_tgx_IHuhSq3AJ5eI5OnqOPBNLWSHKh2a30DoXe8/edit?usp=sharing"",""พังงา!J88"")"),0)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IFERROR(__xludf.DUMMYFUNCTION("IMPORTRANGE(""https://docs.google.com/spreadsheets/d/1IYY_tgx_IHuhSq3AJ5eI5OnqOPBNLWSHKh2a30DoXe8/edit?usp=sharing"",""พังงา!J94"")"),0)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IFERROR(__xludf.DUMMYFUNCTION("IMPORTRANGE(""https://docs.google.com/spreadsheets/d/1IYY_tgx_IHuhSq3AJ5eI5OnqOPBNLWSHKh2a30DoXe8/edit?usp=sharing"",""พังงา!J95"")"),1)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IFERROR(__xludf.DUMMYFUNCTION("IMPORTRANGE(""https://docs.google.com/spreadsheets/d/1IYY_tgx_IHuhSq3AJ5eI5OnqOPBNLWSHKh2a30DoXe8/edit?usp=sharing"",""พังงา!J96"")"),1)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IFERROR(__xludf.DUMMYFUNCTION("IMPORTRANGE(""https://docs.google.com/spreadsheets/d/1IYY_tgx_IHuhSq3AJ5eI5OnqOPBNLWSHKh2a30DoXe8/edit?usp=sharing"",""พังงา!J97"")"),1)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IFERROR(__xludf.DUMMYFUNCTION("IMPORTRANGE(""https://docs.google.com/spreadsheets/d/1IYY_tgx_IHuhSq3AJ5eI5OnqOPBNLWSHKh2a30DoXe8/edit?usp=sharing"",""พังงา!I98"")"),4)</f>
        <v>4</v>
      </c>
      <c r="J173" s="195">
        <f ca="1">IFERROR(__xludf.DUMMYFUNCTION("IMPORTRANGE(""https://docs.google.com/spreadsheets/d/1IYY_tgx_IHuhSq3AJ5eI5OnqOPBNLWSHKh2a30DoXe8/edit?usp=sharing"",""พังงา!J98"")"),4)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IFERROR(__xludf.DUMMYFUNCTION("IMPORTRANGE(""https://docs.google.com/spreadsheets/d/1IYY_tgx_IHuhSq3AJ5eI5OnqOPBNLWSHKh2a30DoXe8/edit?usp=sharing"",""พังงา!J99"")"),0)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IFERROR(__xludf.DUMMYFUNCTION("IMPORTRANGE(""https://docs.google.com/spreadsheets/d/1IYY_tgx_IHuhSq3AJ5eI5OnqOPBNLWSHKh2a30DoXe8/edit?usp=sharing"",""พังงา!J100"")"),0)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IFERROR(__xludf.DUMMYFUNCTION("IMPORTRANGE(""https://docs.google.com/spreadsheets/d/1IYY_tgx_IHuhSq3AJ5eI5OnqOPBNLWSHKh2a30DoXe8/edit?usp=sharing"",""พังงา!J106"")"),0)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IFERROR(__xludf.DUMMYFUNCTION("IMPORTRANGE(""https://docs.google.com/spreadsheets/d/1IYY_tgx_IHuhSq3AJ5eI5OnqOPBNLWSHKh2a30DoXe8/edit?usp=sharing"",""พังงา!J107"")"),0)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IFERROR(__xludf.DUMMYFUNCTION("IMPORTRANGE(""https://docs.google.com/spreadsheets/d/1IYY_tgx_IHuhSq3AJ5eI5OnqOPBNLWSHKh2a30DoXe8/edit?usp=sharing"",""พังงา!J108"")"),0)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IFERROR(__xludf.DUMMYFUNCTION("IMPORTRANGE(""https://docs.google.com/spreadsheets/d/1IYY_tgx_IHuhSq3AJ5eI5OnqOPBNLWSHKh2a30DoXe8/edit?usp=sharing"",""พังงา!J109"")"),0)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IFERROR(__xludf.DUMMYFUNCTION("IMPORTRANGE(""https://docs.google.com/spreadsheets/d/1IYY_tgx_IHuhSq3AJ5eI5OnqOPBNLWSHKh2a30DoXe8/edit?usp=sharing"",""พังงา!I110"")"),0)</f>
        <v>0</v>
      </c>
      <c r="J185" s="210">
        <f ca="1">IFERROR(__xludf.DUMMYFUNCTION("IMPORTRANGE(""https://docs.google.com/spreadsheets/d/1IYY_tgx_IHuhSq3AJ5eI5OnqOPBNLWSHKh2a30DoXe8/edit?usp=sharing"",""พังงา!J110"")"),0)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IFERROR(__xludf.DUMMYFUNCTION("IMPORTRANGE(""https://docs.google.com/spreadsheets/d/1IYY_tgx_IHuhSq3AJ5eI5OnqOPBNLWSHKh2a30DoXe8/edit?usp=sharing"",""พังงา!I111"")"),0)</f>
        <v>0</v>
      </c>
      <c r="J186" s="210">
        <f ca="1">IFERROR(__xludf.DUMMYFUNCTION("IMPORTRANGE(""https://docs.google.com/spreadsheets/d/1IYY_tgx_IHuhSq3AJ5eI5OnqOPBNLWSHKh2a30DoXe8/edit?usp=sharing"",""พังงา!J111"")"),0)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IFERROR(__xludf.DUMMYFUNCTION("IMPORTRANGE(""https://docs.google.com/spreadsheets/d/1IYY_tgx_IHuhSq3AJ5eI5OnqOPBNLWSHKh2a30DoXe8/edit?usp=sharing"",""พังงา!J112"")"),0)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IFERROR(__xludf.DUMMYFUNCTION("IMPORTRANGE(""https://docs.google.com/spreadsheets/d/1IYY_tgx_IHuhSq3AJ5eI5OnqOPBNLWSHKh2a30DoXe8/edit?usp=sharing"",""พังงา!J113"")"),0)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IFERROR(__xludf.DUMMYFUNCTION("IMPORTRANGE(""https://docs.google.com/spreadsheets/d/1IYY_tgx_IHuhSq3AJ5eI5OnqOPBNLWSHKh2a30DoXe8/edit?usp=sharing"",""พังงา!J114"")"),20000)</f>
        <v>20000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IFERROR(__xludf.DUMMYFUNCTION("IMPORTRANGE(""https://docs.google.com/spreadsheets/d/1IYY_tgx_IHuhSq3AJ5eI5OnqOPBNLWSHKh2a30DoXe8/edit?usp=sharing"",""พังงา!J119"")"),0)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IFERROR(__xludf.DUMMYFUNCTION("IMPORTRANGE(""https://docs.google.com/spreadsheets/d/1IYY_tgx_IHuhSq3AJ5eI5OnqOPBNLWSHKh2a30DoXe8/edit?usp=sharing"",""พังงา!J120"")"),1)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IFERROR(__xludf.DUMMYFUNCTION("IMPORTRANGE(""https://docs.google.com/spreadsheets/d/1IYY_tgx_IHuhSq3AJ5eI5OnqOPBNLWSHKh2a30DoXe8/edit?usp=sharing"",""พังงา!J121"")"),1)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IFERROR(__xludf.DUMMYFUNCTION("IMPORTRANGE(""https://docs.google.com/spreadsheets/d/1IYY_tgx_IHuhSq3AJ5eI5OnqOPBNLWSHKh2a30DoXe8/edit?usp=sharing"",""พังงา!J122"")"),0)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IFERROR(__xludf.DUMMYFUNCTION("IMPORTRANGE(""https://docs.google.com/spreadsheets/d/1IYY_tgx_IHuhSq3AJ5eI5OnqOPBNLWSHKh2a30DoXe8/edit?usp=sharing"",""พังงา!I124"")"),20000)</f>
        <v>20000</v>
      </c>
      <c r="J199" s="195">
        <f ca="1">IFERROR(__xludf.DUMMYFUNCTION("IMPORTRANGE(""https://docs.google.com/spreadsheets/d/1IYY_tgx_IHuhSq3AJ5eI5OnqOPBNLWSHKh2a30DoXe8/edit?usp=sharing"",""พังงา!J124"")"),20000)</f>
        <v>20000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IFERROR(__xludf.DUMMYFUNCTION("IMPORTRANGE(""https://docs.google.com/spreadsheets/d/1IYY_tgx_IHuhSq3AJ5eI5OnqOPBNLWSHKh2a30DoXe8/edit?usp=sharing"",""พังงา!I125"")"),20000)</f>
        <v>20000</v>
      </c>
      <c r="J200" s="195">
        <f ca="1">IFERROR(__xludf.DUMMYFUNCTION("IMPORTRANGE(""https://docs.google.com/spreadsheets/d/1IYY_tgx_IHuhSq3AJ5eI5OnqOPBNLWSHKh2a30DoXe8/edit?usp=sharing"",""พังงา!J125"")"),20000)</f>
        <v>20000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IFERROR(__xludf.DUMMYFUNCTION("IMPORTRANGE(""https://docs.google.com/spreadsheets/d/1IYY_tgx_IHuhSq3AJ5eI5OnqOPBNLWSHKh2a30DoXe8/edit?usp=sharing"",""พังงา!I126"")"),0)</f>
        <v>0</v>
      </c>
      <c r="J201" s="195">
        <f ca="1">IFERROR(__xludf.DUMMYFUNCTION("IMPORTRANGE(""https://docs.google.com/spreadsheets/d/1IYY_tgx_IHuhSq3AJ5eI5OnqOPBNLWSHKh2a30DoXe8/edit?usp=sharing"",""พังงา!J126"")"),0)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IFERROR(__xludf.DUMMYFUNCTION("IMPORTRANGE(""https://docs.google.com/spreadsheets/d/1IYY_tgx_IHuhSq3AJ5eI5OnqOPBNLWSHKh2a30DoXe8/edit?usp=sharing"",""พังงา!J127"")"),0)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IFERROR(__xludf.DUMMYFUNCTION("IMPORTRANGE(""https://docs.google.com/spreadsheets/d/1IYY_tgx_IHuhSq3AJ5eI5OnqOPBNLWSHKh2a30DoXe8/edit?usp=sharing"",""พังงา!J128"")"),0)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IFERROR(__xludf.DUMMYFUNCTION("IMPORTRANGE(""https://docs.google.com/spreadsheets/d/1IYY_tgx_IHuhSq3AJ5eI5OnqOPBNLWSHKh2a30DoXe8/edit?usp=sharing"",""พังงา!J134"")"),0)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IFERROR(__xludf.DUMMYFUNCTION("IMPORTRANGE(""https://docs.google.com/spreadsheets/d/1IYY_tgx_IHuhSq3AJ5eI5OnqOPBNLWSHKh2a30DoXe8/edit?usp=sharing"",""พังงา!J135"")"),0)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IFERROR(__xludf.DUMMYFUNCTION("IMPORTRANGE(""https://docs.google.com/spreadsheets/d/1IYY_tgx_IHuhSq3AJ5eI5OnqOPBNLWSHKh2a30DoXe8/edit?usp=sharing"",""พังงา!J136"")"),0)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IFERROR(__xludf.DUMMYFUNCTION("IMPORTRANGE(""https://docs.google.com/spreadsheets/d/1IYY_tgx_IHuhSq3AJ5eI5OnqOPBNLWSHKh2a30DoXe8/edit?usp=sharing"",""พังงา!J137"")"),0)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IFERROR(__xludf.DUMMYFUNCTION("IMPORTRANGE(""https://docs.google.com/spreadsheets/d/1IYY_tgx_IHuhSq3AJ5eI5OnqOPBNLWSHKh2a30DoXe8/edit?usp=sharing"",""พังงา!I138"")"),0)</f>
        <v>0</v>
      </c>
      <c r="J213" s="210">
        <f ca="1">IFERROR(__xludf.DUMMYFUNCTION("IMPORTRANGE(""https://docs.google.com/spreadsheets/d/1IYY_tgx_IHuhSq3AJ5eI5OnqOPBNLWSHKh2a30DoXe8/edit?usp=sharing"",""พังงา!J138"")"),0)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IFERROR(__xludf.DUMMYFUNCTION("IMPORTRANGE(""https://docs.google.com/spreadsheets/d/1IYY_tgx_IHuhSq3AJ5eI5OnqOPBNLWSHKh2a30DoXe8/edit?usp=sharing"",""พังงา!I140"")"),0)</f>
        <v>0</v>
      </c>
      <c r="J215" s="210">
        <f ca="1">IFERROR(__xludf.DUMMYFUNCTION("IMPORTRANGE(""https://docs.google.com/spreadsheets/d/1IYY_tgx_IHuhSq3AJ5eI5OnqOPBNLWSHKh2a30DoXe8/edit?usp=sharing"",""พังงา!J140"")"),0)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IFERROR(__xludf.DUMMYFUNCTION("IMPORTRANGE(""https://docs.google.com/spreadsheets/d/1IYY_tgx_IHuhSq3AJ5eI5OnqOPBNLWSHKh2a30DoXe8/edit?usp=sharing"",""พังงา!I141"")"),0)</f>
        <v>0</v>
      </c>
      <c r="J216" s="210">
        <f ca="1">IFERROR(__xludf.DUMMYFUNCTION("IMPORTRANGE(""https://docs.google.com/spreadsheets/d/1IYY_tgx_IHuhSq3AJ5eI5OnqOPBNLWSHKh2a30DoXe8/edit?usp=sharing"",""พังงา!J141"")"),0)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IFERROR(__xludf.DUMMYFUNCTION("IMPORTRANGE(""https://docs.google.com/spreadsheets/d/1IYY_tgx_IHuhSq3AJ5eI5OnqOPBNLWSHKh2a30DoXe8/edit?usp=sharing"",""พังงา!J142"")"),0)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IFERROR(__xludf.DUMMYFUNCTION("IMPORTRANGE(""https://docs.google.com/spreadsheets/d/1IYY_tgx_IHuhSq3AJ5eI5OnqOPBNLWSHKh2a30DoXe8/edit?usp=sharing"",""พังงา!J143"")"),0)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IFERROR(__xludf.DUMMYFUNCTION("IMPORTRANGE(""https://docs.google.com/spreadsheets/d/1IYY_tgx_IHuhSq3AJ5eI5OnqOPBNLWSHKh2a30DoXe8/edit?usp=sharing"",""พังงา!I144"")"),15)</f>
        <v>15</v>
      </c>
      <c r="J219" s="273">
        <f ca="1">IFERROR(__xludf.DUMMYFUNCTION("IMPORTRANGE(""https://docs.google.com/spreadsheets/d/1IYY_tgx_IHuhSq3AJ5eI5OnqOPBNLWSHKh2a30DoXe8/edit?usp=sharing"",""พังงา!J144"")"),15)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IFERROR(__xludf.DUMMYFUNCTION("IMPORTRANGE(""https://docs.google.com/spreadsheets/d/1Yj_ptqi66GCucihVvJfMjLAmec39IyEx_6qawtMGysU/edit?usp=sharing"",""สบก!BS87"")"),21125)</f>
        <v>21125</v>
      </c>
      <c r="N224" s="174">
        <f ca="1">IFERROR(__xludf.DUMMYFUNCTION("IMPORTRANGE(""https://docs.google.com/spreadsheets/d/1Yj_ptqi66GCucihVvJfMjLAmec39IyEx_6qawtMGysU/edit?usp=sharing"",""สบก!BT87"")"),21125)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IFERROR(__xludf.DUMMYFUNCTION("IMPORTRANGE(""https://docs.google.com/spreadsheets/d/1Yj_ptqi66GCucihVvJfMjLAmec39IyEx_6qawtMGysU/edit?usp=sharing"",""สบก!BO87"")"),0)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IFERROR(__xludf.DUMMYFUNCTION("IMPORTRANGE(""https://docs.google.com/spreadsheets/d/1Yj_ptqi66GCucihVvJfMjLAmec39IyEx_6qawtMGysU/edit?usp=sharing"",""สบก!BP87"")"),21125)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IFERROR(__xludf.DUMMYFUNCTION("IMPORTRANGE(""https://docs.google.com/spreadsheets/d/1IYY_tgx_IHuhSq3AJ5eI5OnqOPBNLWSHKh2a30DoXe8/edit?usp=sharing"",""พังงา!I149"")"),15)</f>
        <v>15</v>
      </c>
      <c r="J229" s="273">
        <f ca="1">IFERROR(__xludf.DUMMYFUNCTION("IMPORTRANGE(""https://docs.google.com/spreadsheets/d/1IYY_tgx_IHuhSq3AJ5eI5OnqOPBNLWSHKh2a30DoXe8/edit?usp=sharing"",""พังงา!J149"")"),15)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IFERROR(__xludf.DUMMYFUNCTION("IMPORTRANGE(""https://docs.google.com/spreadsheets/d/1IYY_tgx_IHuhSq3AJ5eI5OnqOPBNLWSHKh2a30DoXe8/edit?usp=sharing"",""พังงา!J151"")"),0)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IFERROR(__xludf.DUMMYFUNCTION("IMPORTRANGE(""https://docs.google.com/spreadsheets/d/1IYY_tgx_IHuhSq3AJ5eI5OnqOPBNLWSHKh2a30DoXe8/edit?usp=sharing"",""พังงา!J152"")"),1)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IFERROR(__xludf.DUMMYFUNCTION("IMPORTRANGE(""https://docs.google.com/spreadsheets/d/1IYY_tgx_IHuhSq3AJ5eI5OnqOPBNLWSHKh2a30DoXe8/edit?usp=sharing"",""พังงา!J153"")"),1)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IFERROR(__xludf.DUMMYFUNCTION("IMPORTRANGE(""https://docs.google.com/spreadsheets/d/1IYY_tgx_IHuhSq3AJ5eI5OnqOPBNLWSHKh2a30DoXe8/edit?usp=sharing"",""พังงา!J154"")"),1)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IFERROR(__xludf.DUMMYFUNCTION("IMPORTRANGE(""https://docs.google.com/spreadsheets/d/1IYY_tgx_IHuhSq3AJ5eI5OnqOPBNLWSHKh2a30DoXe8/edit?usp=sharing"",""พังงา!I155"")"),15)</f>
        <v>15</v>
      </c>
      <c r="J235" s="195">
        <f ca="1">IFERROR(__xludf.DUMMYFUNCTION("IMPORTRANGE(""https://docs.google.com/spreadsheets/d/1IYY_tgx_IHuhSq3AJ5eI5OnqOPBNLWSHKh2a30DoXe8/edit?usp=sharing"",""พังงา!J155"")"),15)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IFERROR(__xludf.DUMMYFUNCTION("IMPORTRANGE(""https://docs.google.com/spreadsheets/d/1IYY_tgx_IHuhSq3AJ5eI5OnqOPBNLWSHKh2a30DoXe8/edit?usp=sharing"",""พังงา!J156"")"),0)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IFERROR(__xludf.DUMMYFUNCTION("IMPORTRANGE(""https://docs.google.com/spreadsheets/d/1IYY_tgx_IHuhSq3AJ5eI5OnqOPBNLWSHKh2a30DoXe8/edit?usp=sharing"",""พังงา!J157"")"),0)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IFERROR(__xludf.DUMMYFUNCTION("IMPORTRANGE(""https://docs.google.com/spreadsheets/d/1IYY_tgx_IHuhSq3AJ5eI5OnqOPBNLWSHKh2a30DoXe8/edit?usp=sharing"",""พังงา!I158"")"),0)</f>
        <v>0</v>
      </c>
      <c r="J238" s="273">
        <f ca="1">IFERROR(__xludf.DUMMYFUNCTION("IMPORTRANGE(""https://docs.google.com/spreadsheets/d/1IYY_tgx_IHuhSq3AJ5eI5OnqOPBNLWSHKh2a30DoXe8/edit?usp=sharing"",""พังงา!J158"")"),0)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IFERROR(__xludf.DUMMYFUNCTION("IMPORTRANGE(""https://docs.google.com/spreadsheets/d/1IYY_tgx_IHuhSq3AJ5eI5OnqOPBNLWSHKh2a30DoXe8/edit?usp=sharing"",""พังงา!J159"")"),"")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IFERROR(__xludf.DUMMYFUNCTION("IMPORTRANGE(""https://docs.google.com/spreadsheets/d/1IYY_tgx_IHuhSq3AJ5eI5OnqOPBNLWSHKh2a30DoXe8/edit?usp=sharing"",""พังงา!J161"")"),0)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IFERROR(__xludf.DUMMYFUNCTION("IMPORTRANGE(""https://docs.google.com/spreadsheets/d/1IYY_tgx_IHuhSq3AJ5eI5OnqOPBNLWSHKh2a30DoXe8/edit?usp=sharing"",""พังงา!J162"")"),0)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IFERROR(__xludf.DUMMYFUNCTION("IMPORTRANGE(""https://docs.google.com/spreadsheets/d/1IYY_tgx_IHuhSq3AJ5eI5OnqOPBNLWSHKh2a30DoXe8/edit?usp=sharing"",""พังงา!J163"")"),0)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IFERROR(__xludf.DUMMYFUNCTION("IMPORTRANGE(""https://docs.google.com/spreadsheets/d/1IYY_tgx_IHuhSq3AJ5eI5OnqOPBNLWSHKh2a30DoXe8/edit?usp=sharing"",""พังงา!I164"")"),0)</f>
        <v>0</v>
      </c>
      <c r="J244" s="194">
        <f ca="1">IFERROR(__xludf.DUMMYFUNCTION("IMPORTRANGE(""https://docs.google.com/spreadsheets/d/1IYY_tgx_IHuhSq3AJ5eI5OnqOPBNLWSHKh2a30DoXe8/edit?usp=sharing"",""พังงา!J164"")"),0)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IFERROR(__xludf.DUMMYFUNCTION("IMPORTRANGE(""https://docs.google.com/spreadsheets/d/1IYY_tgx_IHuhSq3AJ5eI5OnqOPBNLWSHKh2a30DoXe8/edit?usp=sharing"",""พังงา!J165"")"),0)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IFERROR(__xludf.DUMMYFUNCTION("IMPORTRANGE(""https://docs.google.com/spreadsheets/d/1Yj_ptqi66GCucihVvJfMjLAmec39IyEx_6qawtMGysU/edit?usp=sharing"",""สบก!CB87"")"),0)</f>
        <v>0</v>
      </c>
      <c r="N254" s="174">
        <f ca="1">IFERROR(__xludf.DUMMYFUNCTION("IMPORTRANGE(""https://docs.google.com/spreadsheets/d/1Yj_ptqi66GCucihVvJfMjLAmec39IyEx_6qawtMGysU/edit?usp=sharing"",""สบก!CC87"")"),0)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IFERROR(__xludf.DUMMYFUNCTION("IMPORTRANGE(""https://docs.google.com/spreadsheets/d/1Yj_ptqi66GCucihVvJfMjLAmec39IyEx_6qawtMGysU/edit?usp=sharing"",""สบก!BX87"")"),0)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IFERROR(__xludf.DUMMYFUNCTION("IMPORTRANGE(""https://docs.google.com/spreadsheets/d/1Yj_ptqi66GCucihVvJfMjLAmec39IyEx_6qawtMGysU/edit?usp=sharing"",""สบก!BY87"")"),0)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IFERROR(__xludf.DUMMYFUNCTION("IMPORTRANGE(""https://docs.google.com/spreadsheets/d/1IYY_tgx_IHuhSq3AJ5eI5OnqOPBNLWSHKh2a30DoXe8/edit?usp=sharing"",""พังงา!J175"")"),0)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IFERROR(__xludf.DUMMYFUNCTION("IMPORTRANGE(""https://docs.google.com/spreadsheets/d/1IYY_tgx_IHuhSq3AJ5eI5OnqOPBNLWSHKh2a30DoXe8/edit?usp=sharing"",""พังงา!J176"")"),0)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IFERROR(__xludf.DUMMYFUNCTION("IMPORTRANGE(""https://docs.google.com/spreadsheets/d/1IYY_tgx_IHuhSq3AJ5eI5OnqOPBNLWSHKh2a30DoXe8/edit?usp=sharing"",""พังงา!J177"")"),0)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IFERROR(__xludf.DUMMYFUNCTION("IMPORTRANGE(""https://docs.google.com/spreadsheets/d/1IYY_tgx_IHuhSq3AJ5eI5OnqOPBNLWSHKh2a30DoXe8/edit?usp=sharing"",""พังงา!J178"")"),0)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IFERROR(__xludf.DUMMYFUNCTION("IMPORTRANGE(""https://docs.google.com/spreadsheets/d/1IYY_tgx_IHuhSq3AJ5eI5OnqOPBNLWSHKh2a30DoXe8/edit?usp=sharing"",""พังงา!I179"")"),0)</f>
        <v>0</v>
      </c>
      <c r="J264" s="195">
        <f ca="1">IFERROR(__xludf.DUMMYFUNCTION("IMPORTRANGE(""https://docs.google.com/spreadsheets/d/1IYY_tgx_IHuhSq3AJ5eI5OnqOPBNLWSHKh2a30DoXe8/edit?usp=sharing"",""พังงา!J179"")"),0)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IFERROR(__xludf.DUMMYFUNCTION("IMPORTRANGE(""https://docs.google.com/spreadsheets/d/1IYY_tgx_IHuhSq3AJ5eI5OnqOPBNLWSHKh2a30DoXe8/edit?usp=sharing"",""พังงา!I180"")"),0)</f>
        <v>0</v>
      </c>
      <c r="J265" s="195">
        <f ca="1">IFERROR(__xludf.DUMMYFUNCTION("IMPORTRANGE(""https://docs.google.com/spreadsheets/d/1IYY_tgx_IHuhSq3AJ5eI5OnqOPBNLWSHKh2a30DoXe8/edit?usp=sharing"",""พังงา!J180"")"),0)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IFERROR(__xludf.DUMMYFUNCTION("IMPORTRANGE(""https://docs.google.com/spreadsheets/d/1IYY_tgx_IHuhSq3AJ5eI5OnqOPBNLWSHKh2a30DoXe8/edit?usp=sharing"",""พังงา!I181"")"),0)</f>
        <v>0</v>
      </c>
      <c r="J266" s="195">
        <f ca="1">IFERROR(__xludf.DUMMYFUNCTION("IMPORTRANGE(""https://docs.google.com/spreadsheets/d/1IYY_tgx_IHuhSq3AJ5eI5OnqOPBNLWSHKh2a30DoXe8/edit?usp=sharing"",""พังงา!J181"")"),0)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IFERROR(__xludf.DUMMYFUNCTION("IMPORTRANGE(""https://docs.google.com/spreadsheets/d/1IYY_tgx_IHuhSq3AJ5eI5OnqOPBNLWSHKh2a30DoXe8/edit?usp=sharing"",""พังงา!I182"")"),0)</f>
        <v>0</v>
      </c>
      <c r="J267" s="195">
        <f ca="1">IFERROR(__xludf.DUMMYFUNCTION("IMPORTRANGE(""https://docs.google.com/spreadsheets/d/1IYY_tgx_IHuhSq3AJ5eI5OnqOPBNLWSHKh2a30DoXe8/edit?usp=sharing"",""พังงา!J182"")"),0)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IFERROR(__xludf.DUMMYFUNCTION("IMPORTRANGE(""https://docs.google.com/spreadsheets/d/1IYY_tgx_IHuhSq3AJ5eI5OnqOPBNLWSHKh2a30DoXe8/edit?usp=sharing"",""พังงา!J183"")"),0)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30480</v>
      </c>
      <c r="O271" s="155">
        <f t="shared" ref="O271:O273" ca="1" si="84">IF(L271&gt;0,N271*100/L271,0)</f>
        <v>16.282051282051281</v>
      </c>
      <c r="P271" s="155">
        <f t="shared" ref="P271:P273" ca="1" si="85">IF(M271&gt;0,N271*100/M271,0)</f>
        <v>16.282051282051281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30480</v>
      </c>
      <c r="O273" s="160">
        <f t="shared" ca="1" si="84"/>
        <v>16.282051282051281</v>
      </c>
      <c r="P273" s="160">
        <f t="shared" ca="1" si="85"/>
        <v>16.282051282051281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IFERROR(__xludf.DUMMYFUNCTION("IMPORTRANGE(""https://docs.google.com/spreadsheets/d/1Yj_ptqi66GCucihVvJfMjLAmec39IyEx_6qawtMGysU/edit?usp=sharing"",""สบก!CK87"")"),187200)</f>
        <v>187200</v>
      </c>
      <c r="N275" s="174">
        <f ca="1">IFERROR(__xludf.DUMMYFUNCTION("IMPORTRANGE(""https://docs.google.com/spreadsheets/d/1Yj_ptqi66GCucihVvJfMjLAmec39IyEx_6qawtMGysU/edit?usp=sharing"",""สบก!CL87"")"),30480)</f>
        <v>30480</v>
      </c>
      <c r="O275" s="175">
        <f ca="1">IF(L275&gt;0,N275*100/L275,0)</f>
        <v>16.282051282051281</v>
      </c>
      <c r="P275" s="175">
        <f ca="1">IF(M275&gt;0,N275*100/M275,0)</f>
        <v>16.282051282051281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IFERROR(__xludf.DUMMYFUNCTION("IMPORTRANGE(""https://docs.google.com/spreadsheets/d/1Yj_ptqi66GCucihVvJfMjLAmec39IyEx_6qawtMGysU/edit?usp=sharing"",""สบก!CG87"")"),132000)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IFERROR(__xludf.DUMMYFUNCTION("IMPORTRANGE(""https://docs.google.com/spreadsheets/d/1Yj_ptqi66GCucihVvJfMjLAmec39IyEx_6qawtMGysU/edit?usp=sharing"",""สบก!CH87"")"),55200)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IFERROR(__xludf.DUMMYFUNCTION("IMPORTRANGE(""https://docs.google.com/spreadsheets/d/1IYY_tgx_IHuhSq3AJ5eI5OnqOPBNLWSHKh2a30DoXe8/edit?usp=sharing"",""พังงา!J191"")"),0)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IFERROR(__xludf.DUMMYFUNCTION("IMPORTRANGE(""https://docs.google.com/spreadsheets/d/1IYY_tgx_IHuhSq3AJ5eI5OnqOPBNLWSHKh2a30DoXe8/edit?usp=sharing"",""พังงา!J192"")"),1)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IFERROR(__xludf.DUMMYFUNCTION("IMPORTRANGE(""https://docs.google.com/spreadsheets/d/1IYY_tgx_IHuhSq3AJ5eI5OnqOPBNLWSHKh2a30DoXe8/edit?usp=sharing"",""พังงา!J193"")"),1)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IFERROR(__xludf.DUMMYFUNCTION("IMPORTRANGE(""https://docs.google.com/spreadsheets/d/1IYY_tgx_IHuhSq3AJ5eI5OnqOPBNLWSHKh2a30DoXe8/edit?usp=sharing"",""พังงา!J194"")"),1)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IFERROR(__xludf.DUMMYFUNCTION("IMPORTRANGE(""https://docs.google.com/spreadsheets/d/1IYY_tgx_IHuhSq3AJ5eI5OnqOPBNLWSHKh2a30DoXe8/edit?usp=sharing"",""พังงา!I195"")"),15)</f>
        <v>15</v>
      </c>
      <c r="J285" s="195">
        <f ca="1">IFERROR(__xludf.DUMMYFUNCTION("IMPORTRANGE(""https://docs.google.com/spreadsheets/d/1IYY_tgx_IHuhSq3AJ5eI5OnqOPBNLWSHKh2a30DoXe8/edit?usp=sharing"",""พังงา!J195"")"),15)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IFERROR(__xludf.DUMMYFUNCTION("IMPORTRANGE(""https://docs.google.com/spreadsheets/d/1IYY_tgx_IHuhSq3AJ5eI5OnqOPBNLWSHKh2a30DoXe8/edit?usp=sharing"",""พังงา!J196"")"),0)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IFERROR(__xludf.DUMMYFUNCTION("IMPORTRANGE(""https://docs.google.com/spreadsheets/d/1IYY_tgx_IHuhSq3AJ5eI5OnqOPBNLWSHKh2a30DoXe8/edit?usp=sharing"",""พังงา!J197"")"),0)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IFERROR(__xludf.DUMMYFUNCTION("IMPORTRANGE(""https://docs.google.com/spreadsheets/d/1Yj_ptqi66GCucihVvJfMjLAmec39IyEx_6qawtMGysU/edit?usp=sharing"",""สบก!CT87"")"),0)</f>
        <v>0</v>
      </c>
      <c r="N294" s="174">
        <f ca="1">IFERROR(__xludf.DUMMYFUNCTION("IMPORTRANGE(""https://docs.google.com/spreadsheets/d/1Yj_ptqi66GCucihVvJfMjLAmec39IyEx_6qawtMGysU/edit?usp=sharing"",""สบก!CU87"")"),0)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IFERROR(__xludf.DUMMYFUNCTION("IMPORTRANGE(""https://docs.google.com/spreadsheets/d/1Yj_ptqi66GCucihVvJfMjLAmec39IyEx_6qawtMGysU/edit?usp=sharing"",""สบก!CP87"")"),0)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IFERROR(__xludf.DUMMYFUNCTION("IMPORTRANGE(""https://docs.google.com/spreadsheets/d/1Yj_ptqi66GCucihVvJfMjLAmec39IyEx_6qawtMGysU/edit?usp=sharing"",""สบก!CQ87"")"),0)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IFERROR(__xludf.DUMMYFUNCTION("IMPORTRANGE(""https://docs.google.com/spreadsheets/d/1IYY_tgx_IHuhSq3AJ5eI5OnqOPBNLWSHKh2a30DoXe8/edit?usp=sharing"",""พังงา!J205"")"),0)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IFERROR(__xludf.DUMMYFUNCTION("IMPORTRANGE(""https://docs.google.com/spreadsheets/d/1IYY_tgx_IHuhSq3AJ5eI5OnqOPBNLWSHKh2a30DoXe8/edit?usp=sharing"",""พังงา!J206"")"),0)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IFERROR(__xludf.DUMMYFUNCTION("IMPORTRANGE(""https://docs.google.com/spreadsheets/d/1IYY_tgx_IHuhSq3AJ5eI5OnqOPBNLWSHKh2a30DoXe8/edit?usp=sharing"",""พังงา!J207"")"),0)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IFERROR(__xludf.DUMMYFUNCTION("IMPORTRANGE(""https://docs.google.com/spreadsheets/d/1IYY_tgx_IHuhSq3AJ5eI5OnqOPBNLWSHKh2a30DoXe8/edit?usp=sharing"",""พังงา!J208"")"),0)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IFERROR(__xludf.DUMMYFUNCTION("IMPORTRANGE(""https://docs.google.com/spreadsheets/d/1IYY_tgx_IHuhSq3AJ5eI5OnqOPBNLWSHKh2a30DoXe8/edit?usp=sharing"",""พังงา!I209"")"),0)</f>
        <v>0</v>
      </c>
      <c r="J304" s="210">
        <f ca="1">IFERROR(__xludf.DUMMYFUNCTION("IMPORTRANGE(""https://docs.google.com/spreadsheets/d/1IYY_tgx_IHuhSq3AJ5eI5OnqOPBNLWSHKh2a30DoXe8/edit?usp=sharing"",""พังงา!J209"")"),0)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IFERROR(__xludf.DUMMYFUNCTION("IMPORTRANGE(""https://docs.google.com/spreadsheets/d/1IYY_tgx_IHuhSq3AJ5eI5OnqOPBNLWSHKh2a30DoXe8/edit?usp=sharing"",""พังงา!I211"")"),0)</f>
        <v>0</v>
      </c>
      <c r="J306" s="210">
        <f ca="1">IFERROR(__xludf.DUMMYFUNCTION("IMPORTRANGE(""https://docs.google.com/spreadsheets/d/1IYY_tgx_IHuhSq3AJ5eI5OnqOPBNLWSHKh2a30DoXe8/edit?usp=sharing"",""พังงา!J211"")"),0)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IFERROR(__xludf.DUMMYFUNCTION("IMPORTRANGE(""https://docs.google.com/spreadsheets/d/1IYY_tgx_IHuhSq3AJ5eI5OnqOPBNLWSHKh2a30DoXe8/edit?usp=sharing"",""พังงา!J212"")"),0)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IFERROR(__xludf.DUMMYFUNCTION("IMPORTRANGE(""https://docs.google.com/spreadsheets/d/1Yj_ptqi66GCucihVvJfMjLAmec39IyEx_6qawtMGysU/edit?usp=sharing"",""สบก!DC87"")"),0)</f>
        <v>0</v>
      </c>
      <c r="N314" s="174">
        <f ca="1">IFERROR(__xludf.DUMMYFUNCTION("IMPORTRANGE(""https://docs.google.com/spreadsheets/d/1Yj_ptqi66GCucihVvJfMjLAmec39IyEx_6qawtMGysU/edit?usp=sharing"",""สบก!DD87"")"),0)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IFERROR(__xludf.DUMMYFUNCTION("IMPORTRANGE(""https://docs.google.com/spreadsheets/d/1Yj_ptqi66GCucihVvJfMjLAmec39IyEx_6qawtMGysU/edit?usp=sharing"",""สบก!CY87"")"),0)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IFERROR(__xludf.DUMMYFUNCTION("IMPORTRANGE(""https://docs.google.com/spreadsheets/d/1Yj_ptqi66GCucihVvJfMjLAmec39IyEx_6qawtMGysU/edit?usp=sharing"",""สบก!CZ87"")"),0)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IFERROR(__xludf.DUMMYFUNCTION("IMPORTRANGE(""https://docs.google.com/spreadsheets/d/1IYY_tgx_IHuhSq3AJ5eI5OnqOPBNLWSHKh2a30DoXe8/edit?usp=sharing"",""พังงา!J220"")"),0)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IFERROR(__xludf.DUMMYFUNCTION("IMPORTRANGE(""https://docs.google.com/spreadsheets/d/1IYY_tgx_IHuhSq3AJ5eI5OnqOPBNLWSHKh2a30DoXe8/edit?usp=sharing"",""พังงา!J221"")"),0)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IFERROR(__xludf.DUMMYFUNCTION("IMPORTRANGE(""https://docs.google.com/spreadsheets/d/1IYY_tgx_IHuhSq3AJ5eI5OnqOPBNLWSHKh2a30DoXe8/edit?usp=sharing"",""พังงา!J222"")"),0)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IFERROR(__xludf.DUMMYFUNCTION("IMPORTRANGE(""https://docs.google.com/spreadsheets/d/1IYY_tgx_IHuhSq3AJ5eI5OnqOPBNLWSHKh2a30DoXe8/edit?usp=sharing"",""พังงา!J223"")"),0)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IFERROR(__xludf.DUMMYFUNCTION("IMPORTRANGE(""https://docs.google.com/spreadsheets/d/1IYY_tgx_IHuhSq3AJ5eI5OnqOPBNLWSHKh2a30DoXe8/edit?usp=sharing"",""พังงา!I224"")"),0)</f>
        <v>0</v>
      </c>
      <c r="J324" s="210">
        <f ca="1">IFERROR(__xludf.DUMMYFUNCTION("IMPORTRANGE(""https://docs.google.com/spreadsheets/d/1IYY_tgx_IHuhSq3AJ5eI5OnqOPBNLWSHKh2a30DoXe8/edit?usp=sharing"",""พังงา!J224"")"),0)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IFERROR(__xludf.DUMMYFUNCTION("IMPORTRANGE(""https://docs.google.com/spreadsheets/d/1IYY_tgx_IHuhSq3AJ5eI5OnqOPBNLWSHKh2a30DoXe8/edit?usp=sharing"",""พังงา!J225"")"),0)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IFERROR(__xludf.DUMMYFUNCTION("IMPORTRANGE(""https://docs.google.com/spreadsheets/d/1IYY_tgx_IHuhSq3AJ5eI5OnqOPBNLWSHKh2a30DoXe8/edit?usp=sharing"",""พังงา!J226"")"),0)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IFERROR(__xludf.DUMMYFUNCTION("IMPORTRANGE(""https://docs.google.com/spreadsheets/d/1IYY_tgx_IHuhSq3AJ5eI5OnqOPBNLWSHKh2a30DoXe8/edit?usp=sharing"",""พังงา!J228"")"),27)</f>
        <v>27</v>
      </c>
      <c r="K328" s="323">
        <f ca="1">IF(I328&gt;0,J328*100/I328,0)</f>
        <v>24.545454545454547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917210</v>
      </c>
      <c r="M329" s="156">
        <f t="shared" ca="1" si="98"/>
        <v>807860</v>
      </c>
      <c r="N329" s="156">
        <f t="shared" ca="1" si="98"/>
        <v>518960.25</v>
      </c>
      <c r="O329" s="155">
        <f t="shared" ref="O329:O331" ca="1" si="99">IF(L329&gt;0,N329*100/L329,0)</f>
        <v>56.580308762442627</v>
      </c>
      <c r="P329" s="155">
        <f t="shared" ref="P329:P331" ca="1" si="100">IF(M329&gt;0,N329*100/M329,0)</f>
        <v>64.238884212611097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917210</v>
      </c>
      <c r="M331" s="161">
        <f t="shared" ca="1" si="102"/>
        <v>807860</v>
      </c>
      <c r="N331" s="161">
        <f t="shared" ca="1" si="102"/>
        <v>518960.25</v>
      </c>
      <c r="O331" s="160">
        <f t="shared" ca="1" si="99"/>
        <v>56.580308762442627</v>
      </c>
      <c r="P331" s="160">
        <f t="shared" ca="1" si="100"/>
        <v>64.238884212611097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743010</v>
      </c>
      <c r="M333" s="173">
        <f ca="1">IFERROR(__xludf.DUMMYFUNCTION("IMPORTRANGE(""https://docs.google.com/spreadsheets/d/1Yj_ptqi66GCucihVvJfMjLAmec39IyEx_6qawtMGysU/edit?usp=sharing"",""สบก!DL87"")"),633660)</f>
        <v>633660</v>
      </c>
      <c r="N333" s="174">
        <f ca="1">IFERROR(__xludf.DUMMYFUNCTION("IMPORTRANGE(""https://docs.google.com/spreadsheets/d/1Yj_ptqi66GCucihVvJfMjLAmec39IyEx_6qawtMGysU/edit?usp=sharing"",""สบก!DM87"")"),344760.25)</f>
        <v>344760.25</v>
      </c>
      <c r="O333" s="175">
        <f ca="1">IF(L333&gt;0,N333*100/L333,0)</f>
        <v>46.400485861563098</v>
      </c>
      <c r="P333" s="175">
        <f ca="1">IF(M333&gt;0,N333*100/M333,0)</f>
        <v>54.407765994381847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IFERROR(__xludf.DUMMYFUNCTION("IMPORTRANGE(""https://docs.google.com/spreadsheets/d/1Yj_ptqi66GCucihVvJfMjLAmec39IyEx_6qawtMGysU/edit?usp=sharing"",""สบก!DH87"")"),492000)</f>
        <v>492000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IFERROR(__xludf.DUMMYFUNCTION("IMPORTRANGE(""https://docs.google.com/spreadsheets/d/1Yj_ptqi66GCucihVvJfMjLAmec39IyEx_6qawtMGysU/edit?usp=sharing"",""สบก!DI87"")"),251010)</f>
        <v>251010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IFERROR(__xludf.DUMMYFUNCTION("IMPORTRANGE(""https://docs.google.com/spreadsheets/d/1IYY_tgx_IHuhSq3AJ5eI5OnqOPBNLWSHKh2a30DoXe8/edit?usp=sharing"",""พังงา!I234"")"),0)</f>
        <v>0</v>
      </c>
      <c r="J339" s="194">
        <f ca="1">IFERROR(__xludf.DUMMYFUNCTION("IMPORTRANGE(""https://docs.google.com/spreadsheets/d/1IYY_tgx_IHuhSq3AJ5eI5OnqOPBNLWSHKh2a30DoXe8/edit?usp=sharing"",""พังงา!J234"")"),76)</f>
        <v>76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IFERROR(__xludf.DUMMYFUNCTION("IMPORTRANGE(""https://docs.google.com/spreadsheets/d/1IYY_tgx_IHuhSq3AJ5eI5OnqOPBNLWSHKh2a30DoXe8/edit?usp=sharing"",""พังงา!I235"")"),665)</f>
        <v>665</v>
      </c>
      <c r="J340" s="194">
        <f ca="1">IFERROR(__xludf.DUMMYFUNCTION("IMPORTRANGE(""https://docs.google.com/spreadsheets/d/1IYY_tgx_IHuhSq3AJ5eI5OnqOPBNLWSHKh2a30DoXe8/edit?usp=sharing"",""พังงา!J235"")"),588.48)</f>
        <v>588.48</v>
      </c>
      <c r="K340" s="348">
        <f t="shared" ca="1" si="103"/>
        <v>88.493233082706766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IFERROR(__xludf.DUMMYFUNCTION("IMPORTRANGE(""https://docs.google.com/spreadsheets/d/1IYY_tgx_IHuhSq3AJ5eI5OnqOPBNLWSHKh2a30DoXe8/edit?usp=sharing"",""พังงา!I236"")"),110)</f>
        <v>110</v>
      </c>
      <c r="J341" s="194">
        <f ca="1">IFERROR(__xludf.DUMMYFUNCTION("IMPORTRANGE(""https://docs.google.com/spreadsheets/d/1IYY_tgx_IHuhSq3AJ5eI5OnqOPBNLWSHKh2a30DoXe8/edit?usp=sharing"",""พังงา!J236"")"),95)</f>
        <v>95</v>
      </c>
      <c r="K341" s="348">
        <f t="shared" ca="1" si="103"/>
        <v>86.36363636363636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4">
        <f ca="1">IFERROR(__xludf.DUMMYFUNCTION("IMPORTRANGE(""https://docs.google.com/spreadsheets/d/1IYY_tgx_IHuhSq3AJ5eI5OnqOPBNLWSHKh2a30DoXe8/edit?usp=sharing"",""พังงา!J237"")"),787.39)</f>
        <v>787.39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IFERROR(__xludf.DUMMYFUNCTION("IMPORTRANGE(""https://docs.google.com/spreadsheets/d/1IYY_tgx_IHuhSq3AJ5eI5OnqOPBNLWSHKh2a30DoXe8/edit?usp=sharing"",""พังงา!I238"")"),110)</f>
        <v>110</v>
      </c>
      <c r="J343" s="194">
        <f ca="1">IFERROR(__xludf.DUMMYFUNCTION("IMPORTRANGE(""https://docs.google.com/spreadsheets/d/1IYY_tgx_IHuhSq3AJ5eI5OnqOPBNLWSHKh2a30DoXe8/edit?usp=sharing"",""พังงา!J238"")"),0)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4">
        <f ca="1">IFERROR(__xludf.DUMMYFUNCTION("IMPORTRANGE(""https://docs.google.com/spreadsheets/d/1IYY_tgx_IHuhSq3AJ5eI5OnqOPBNLWSHKh2a30DoXe8/edit?usp=sharing"",""พังงา!J239"")"),0)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IFERROR(__xludf.DUMMYFUNCTION("IMPORTRANGE(""https://docs.google.com/spreadsheets/d/1IYY_tgx_IHuhSq3AJ5eI5OnqOPBNLWSHKh2a30DoXe8/edit?usp=sharing"",""พังงา!I240"")"),110)</f>
        <v>110</v>
      </c>
      <c r="J345" s="194">
        <f ca="1">IFERROR(__xludf.DUMMYFUNCTION("IMPORTRANGE(""https://docs.google.com/spreadsheets/d/1IYY_tgx_IHuhSq3AJ5eI5OnqOPBNLWSHKh2a30DoXe8/edit?usp=sharing"",""พังงา!J240"")"),27)</f>
        <v>27</v>
      </c>
      <c r="K345" s="348">
        <f t="shared" ca="1" si="103"/>
        <v>24.545454545454547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4">
        <f ca="1">IFERROR(__xludf.DUMMYFUNCTION("IMPORTRANGE(""https://docs.google.com/spreadsheets/d/1IYY_tgx_IHuhSq3AJ5eI5OnqOPBNLWSHKh2a30DoXe8/edit?usp=sharing"",""พังงา!J241"")"),223.66)</f>
        <v>223.66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IFERROR(__xludf.DUMMYFUNCTION("IMPORTRANGE(""https://docs.google.com/spreadsheets/d/1IYY_tgx_IHuhSq3AJ5eI5OnqOPBNLWSHKh2a30DoXe8/edit?usp=sharing"",""พังงา!L242"")"),1070572)</f>
        <v>1070572</v>
      </c>
      <c r="M347" s="364"/>
      <c r="N347" s="364">
        <f ca="1">IFERROR(__xludf.DUMMYFUNCTION("IMPORTRANGE(""https://docs.google.com/spreadsheets/d/1IYY_tgx_IHuhSq3AJ5eI5OnqOPBNLWSHKh2a30DoXe8/edit?usp=sharing"",""พังงา!M242"")"),711049)</f>
        <v>711049</v>
      </c>
      <c r="O347" s="364">
        <f ca="1">+IF(L347&gt;0,N347*100/L347,0)</f>
        <v>66.417672048213475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IFERROR(__xludf.DUMMYFUNCTION("IMPORTRANGE(""https://docs.google.com/spreadsheets/d/1IYY_tgx_IHuhSq3AJ5eI5OnqOPBNLWSHKh2a30DoXe8/edit?usp=sharing"",""พังงา!J244"")"),30)</f>
        <v>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IFERROR(__xludf.DUMMYFUNCTION("IMPORTRANGE(""https://docs.google.com/spreadsheets/d/1IYY_tgx_IHuhSq3AJ5eI5OnqOPBNLWSHKh2a30DoXe8/edit?usp=sharing"",""พังงา!L244"")"),72420)</f>
        <v>72420</v>
      </c>
      <c r="M349" s="379"/>
      <c r="N349" s="379">
        <f ca="1">IFERROR(__xludf.DUMMYFUNCTION("IMPORTRANGE(""https://docs.google.com/spreadsheets/d/1IYY_tgx_IHuhSq3AJ5eI5OnqOPBNLWSHKh2a30DoXe8/edit?usp=sharing"",""พังงา!M244"")"),53765)</f>
        <v>53765</v>
      </c>
      <c r="O349" s="379">
        <f ca="1">+IF(L349&gt;0,N349*100/L349,0)</f>
        <v>74.240541286937315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IFERROR(__xludf.DUMMYFUNCTION("IMPORTRANGE(""https://docs.google.com/spreadsheets/d/1IYY_tgx_IHuhSq3AJ5eI5OnqOPBNLWSHKh2a30DoXe8/edit?usp=sharing"",""พังงา!J245"")"),15)</f>
        <v>15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IFERROR(__xludf.DUMMYFUNCTION("IMPORTRANGE(""https://docs.google.com/spreadsheets/d/1IYY_tgx_IHuhSq3AJ5eI5OnqOPBNLWSHKh2a30DoXe8/edit?usp=sharing"",""พังงา!L246"")"),0)</f>
        <v>0</v>
      </c>
      <c r="M351" s="168"/>
      <c r="N351" s="168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IFERROR(__xludf.DUMMYFUNCTION("IMPORTRANGE(""https://docs.google.com/spreadsheets/d/1IYY_tgx_IHuhSq3AJ5eI5OnqOPBNLWSHKh2a30DoXe8/edit?usp=sharing"",""พังงา!L247"")"),72420)</f>
        <v>72420</v>
      </c>
      <c r="M352" s="169"/>
      <c r="N352" s="168">
        <f ca="1">IFERROR(__xludf.DUMMYFUNCTION("IMPORTRANGE(""https://docs.google.com/spreadsheets/d/1IYY_tgx_IHuhSq3AJ5eI5OnqOPBNLWSHKh2a30DoXe8/edit?usp=sharing"",""พังงา!M247"")"),53765)</f>
        <v>53765</v>
      </c>
      <c r="O352" s="169">
        <f t="shared" ca="1" si="105"/>
        <v>74.240541286937315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IFERROR(__xludf.DUMMYFUNCTION("IMPORTRANGE(""https://docs.google.com/spreadsheets/d/1IYY_tgx_IHuhSq3AJ5eI5OnqOPBNLWSHKh2a30DoXe8/edit?usp=sharing"",""พังงา!L248"")"),0)</f>
        <v>0</v>
      </c>
      <c r="M353" s="175"/>
      <c r="N353" s="175">
        <f ca="1">IFERROR(__xludf.DUMMYFUNCTION("IMPORTRANGE(""https://docs.google.com/spreadsheets/d/1IYY_tgx_IHuhSq3AJ5eI5OnqOPBNLWSHKh2a30DoXe8/edit?usp=sharing"",""พังงา!M248"")"),0)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IFERROR(__xludf.DUMMYFUNCTION("IMPORTRANGE(""https://docs.google.com/spreadsheets/d/1IYY_tgx_IHuhSq3AJ5eI5OnqOPBNLWSHKh2a30DoXe8/edit?usp=sharing"",""พังงา!L249"")"),72420)</f>
        <v>72420</v>
      </c>
      <c r="M354" s="175"/>
      <c r="N354" s="172">
        <f ca="1">IFERROR(__xludf.DUMMYFUNCTION("IMPORTRANGE(""https://docs.google.com/spreadsheets/d/1IYY_tgx_IHuhSq3AJ5eI5OnqOPBNLWSHKh2a30DoXe8/edit?usp=sharing"",""พังงา!M249"")"),53765)</f>
        <v>53765</v>
      </c>
      <c r="O354" s="175">
        <f t="shared" ca="1" si="105"/>
        <v>74.240541286937315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IFERROR(__xludf.DUMMYFUNCTION("IMPORTRANGE(""https://docs.google.com/spreadsheets/d/1IYY_tgx_IHuhSq3AJ5eI5OnqOPBNLWSHKh2a30DoXe8/edit?usp=sharing"",""พังงา!M250"")"),13920)</f>
        <v>13920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IFERROR(__xludf.DUMMYFUNCTION("IMPORTRANGE(""https://docs.google.com/spreadsheets/d/1IYY_tgx_IHuhSq3AJ5eI5OnqOPBNLWSHKh2a30DoXe8/edit?usp=sharing"",""พังงา!M251"")"),32000)</f>
        <v>32000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IFERROR(__xludf.DUMMYFUNCTION("IMPORTRANGE(""https://docs.google.com/spreadsheets/d/1IYY_tgx_IHuhSq3AJ5eI5OnqOPBNLWSHKh2a30DoXe8/edit?usp=sharing"",""พังงา!M253"")"),7845)</f>
        <v>7845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IFERROR(__xludf.DUMMYFUNCTION("IMPORTRANGE(""https://docs.google.com/spreadsheets/d/1IYY_tgx_IHuhSq3AJ5eI5OnqOPBNLWSHKh2a30DoXe8/edit?usp=sharing"",""พังงา!J255"")"),0)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IFERROR(__xludf.DUMMYFUNCTION("IMPORTRANGE(""https://docs.google.com/spreadsheets/d/1IYY_tgx_IHuhSq3AJ5eI5OnqOPBNLWSHKh2a30DoXe8/edit?usp=sharing"",""พังงา!J256"")"),1)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IFERROR(__xludf.DUMMYFUNCTION("IMPORTRANGE(""https://docs.google.com/spreadsheets/d/1IYY_tgx_IHuhSq3AJ5eI5OnqOPBNLWSHKh2a30DoXe8/edit?usp=sharing"",""พังงา!J257"")"),1)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IFERROR(__xludf.DUMMYFUNCTION("IMPORTRANGE(""https://docs.google.com/spreadsheets/d/1IYY_tgx_IHuhSq3AJ5eI5OnqOPBNLWSHKh2a30DoXe8/edit?usp=sharing"",""พังงา!J258"")"),1)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IFERROR(__xludf.DUMMYFUNCTION("IMPORTRANGE(""https://docs.google.com/spreadsheets/d/1IYY_tgx_IHuhSq3AJ5eI5OnqOPBNLWSHKh2a30DoXe8/edit?usp=sharing"",""พังงา!J166"")"),0)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IFERROR(__xludf.DUMMYFUNCTION("IMPORTRANGE(""https://docs.google.com/spreadsheets/d/1IYY_tgx_IHuhSq3AJ5eI5OnqOPBNLWSHKh2a30DoXe8/edit?usp=sharing"",""พังงา!J166"")"),0)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IFERROR(__xludf.DUMMYFUNCTION("IMPORTRANGE(""https://docs.google.com/spreadsheets/d/1IYY_tgx_IHuhSq3AJ5eI5OnqOPBNLWSHKh2a30DoXe8/edit?usp=sharing"",""พังงา!J166"")"),0)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IFERROR(__xludf.DUMMYFUNCTION("IMPORTRANGE(""https://docs.google.com/spreadsheets/d/1IYY_tgx_IHuhSq3AJ5eI5OnqOPBNLWSHKh2a30DoXe8/edit?usp=sharing"",""พังงา!J166"")"),0)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IFERROR(__xludf.DUMMYFUNCTION("IMPORTRANGE(""https://docs.google.com/spreadsheets/d/1IYY_tgx_IHuhSq3AJ5eI5OnqOPBNLWSHKh2a30DoXe8/edit?usp=sharing"",""พังงา!I263"")"),15)</f>
        <v>15</v>
      </c>
      <c r="J368" s="194">
        <f ca="1">IFERROR(__xludf.DUMMYFUNCTION("IMPORTRANGE(""https://docs.google.com/spreadsheets/d/1IYY_tgx_IHuhSq3AJ5eI5OnqOPBNLWSHKh2a30DoXe8/edit?usp=sharing"",""พังงา!J263"")"),15)</f>
        <v>15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IFERROR(__xludf.DUMMYFUNCTION("IMPORTRANGE(""https://docs.google.com/spreadsheets/d/1IYY_tgx_IHuhSq3AJ5eI5OnqOPBNLWSHKh2a30DoXe8/edit?usp=sharing"",""พังงา!I164"")"),0)</f>
        <v>0</v>
      </c>
      <c r="J369" s="210">
        <f ca="1">IFERROR(__xludf.DUMMYFUNCTION("IMPORTRANGE(""https://docs.google.com/spreadsheets/d/1IYY_tgx_IHuhSq3AJ5eI5OnqOPBNLWSHKh2a30DoXe8/edit?usp=sharing"",""พังงา!J164"")"),0)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IFERROR(__xludf.DUMMYFUNCTION("IMPORTRANGE(""https://docs.google.com/spreadsheets/d/1IYY_tgx_IHuhSq3AJ5eI5OnqOPBNLWSHKh2a30DoXe8/edit?usp=sharing"",""พังงา!I265"")"),15)</f>
        <v>15</v>
      </c>
      <c r="J370" s="210">
        <f ca="1">IFERROR(__xludf.DUMMYFUNCTION("IMPORTRANGE(""https://docs.google.com/spreadsheets/d/1IYY_tgx_IHuhSq3AJ5eI5OnqOPBNLWSHKh2a30DoXe8/edit?usp=sharing"",""พังงา!J265"")"),15)</f>
        <v>15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IFERROR(__xludf.DUMMYFUNCTION("IMPORTRANGE(""https://docs.google.com/spreadsheets/d/1IYY_tgx_IHuhSq3AJ5eI5OnqOPBNLWSHKh2a30DoXe8/edit?usp=sharing"",""พังงา!I164"")"),0)</f>
        <v>0</v>
      </c>
      <c r="J371" s="195">
        <f ca="1">IFERROR(__xludf.DUMMYFUNCTION("IMPORTRANGE(""https://docs.google.com/spreadsheets/d/1IYY_tgx_IHuhSq3AJ5eI5OnqOPBNLWSHKh2a30DoXe8/edit?usp=sharing"",""พังงา!J164"")"),0)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IFERROR(__xludf.DUMMYFUNCTION("IMPORTRANGE(""https://docs.google.com/spreadsheets/d/1IYY_tgx_IHuhSq3AJ5eI5OnqOPBNLWSHKh2a30DoXe8/edit?usp=sharing"",""พังงา!I267"")"),15)</f>
        <v>15</v>
      </c>
      <c r="J372" s="195">
        <f ca="1">IFERROR(__xludf.DUMMYFUNCTION("IMPORTRANGE(""https://docs.google.com/spreadsheets/d/1IYY_tgx_IHuhSq3AJ5eI5OnqOPBNLWSHKh2a30DoXe8/edit?usp=sharing"",""พังงา!J267"")"),15)</f>
        <v>15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IFERROR(__xludf.DUMMYFUNCTION("IMPORTRANGE(""https://docs.google.com/spreadsheets/d/1IYY_tgx_IHuhSq3AJ5eI5OnqOPBNLWSHKh2a30DoXe8/edit?usp=sharing"",""พังงา!I164"")"),0)</f>
        <v>0</v>
      </c>
      <c r="J373" s="210">
        <f ca="1">IFERROR(__xludf.DUMMYFUNCTION("IMPORTRANGE(""https://docs.google.com/spreadsheets/d/1IYY_tgx_IHuhSq3AJ5eI5OnqOPBNLWSHKh2a30DoXe8/edit?usp=sharing"",""พังงา!J164"")"),0)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IFERROR(__xludf.DUMMYFUNCTION("IMPORTRANGE(""https://docs.google.com/spreadsheets/d/1IYY_tgx_IHuhSq3AJ5eI5OnqOPBNLWSHKh2a30DoXe8/edit?usp=sharing"",""พังงา!I164"")"),0)</f>
        <v>0</v>
      </c>
      <c r="J374" s="194">
        <f ca="1">IFERROR(__xludf.DUMMYFUNCTION("IMPORTRANGE(""https://docs.google.com/spreadsheets/d/1IYY_tgx_IHuhSq3AJ5eI5OnqOPBNLWSHKh2a30DoXe8/edit?usp=sharing"",""พังงา!J164"")"),0)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IFERROR(__xludf.DUMMYFUNCTION("IMPORTRANGE(""https://docs.google.com/spreadsheets/d/1IYY_tgx_IHuhSq3AJ5eI5OnqOPBNLWSHKh2a30DoXe8/edit?usp=sharing"",""พังงา!I270"")"),30)</f>
        <v>30</v>
      </c>
      <c r="J375" s="194">
        <f ca="1">IFERROR(__xludf.DUMMYFUNCTION("IMPORTRANGE(""https://docs.google.com/spreadsheets/d/1IYY_tgx_IHuhSq3AJ5eI5OnqOPBNLWSHKh2a30DoXe8/edit?usp=sharing"",""พังงา!J270"")"),30)</f>
        <v>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IFERROR(__xludf.DUMMYFUNCTION("IMPORTRANGE(""https://docs.google.com/spreadsheets/d/1IYY_tgx_IHuhSq3AJ5eI5OnqOPBNLWSHKh2a30DoXe8/edit?usp=sharing"",""พังงา!I271"")"),20)</f>
        <v>20</v>
      </c>
      <c r="J376" s="195">
        <f ca="1">IFERROR(__xludf.DUMMYFUNCTION("IMPORTRANGE(""https://docs.google.com/spreadsheets/d/1IYY_tgx_IHuhSq3AJ5eI5OnqOPBNLWSHKh2a30DoXe8/edit?usp=sharing"",""พังงา!J271"")"),20)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IFERROR(__xludf.DUMMYFUNCTION("IMPORTRANGE(""https://docs.google.com/spreadsheets/d/1IYY_tgx_IHuhSq3AJ5eI5OnqOPBNLWSHKh2a30DoXe8/edit?usp=sharing"",""พังงา!I272"")"),10)</f>
        <v>10</v>
      </c>
      <c r="J377" s="210">
        <f ca="1">IFERROR(__xludf.DUMMYFUNCTION("IMPORTRANGE(""https://docs.google.com/spreadsheets/d/1IYY_tgx_IHuhSq3AJ5eI5OnqOPBNLWSHKh2a30DoXe8/edit?usp=sharing"",""พังงา!J272"")"),10)</f>
        <v>10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IFERROR(__xludf.DUMMYFUNCTION("IMPORTRANGE(""https://docs.google.com/spreadsheets/d/1IYY_tgx_IHuhSq3AJ5eI5OnqOPBNLWSHKh2a30DoXe8/edit?usp=sharing"",""พังงา!J273"")"),0)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IFERROR(__xludf.DUMMYFUNCTION("IMPORTRANGE(""https://docs.google.com/spreadsheets/d/1IYY_tgx_IHuhSq3AJ5eI5OnqOPBNLWSHKh2a30DoXe8/edit?usp=sharing"",""พังงา!J274"")"),0)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IFERROR(__xludf.DUMMYFUNCTION("IMPORTRANGE(""https://docs.google.com/spreadsheets/d/1IYY_tgx_IHuhSq3AJ5eI5OnqOPBNLWSHKh2a30DoXe8/edit?usp=sharing"",""พังงา!M275"")"),421500)</f>
        <v>421500</v>
      </c>
      <c r="O380" s="379">
        <f ca="1">+IF(L380&gt;0,N380*100/L380,0)</f>
        <v>91.602555743904034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IFERROR(__xludf.DUMMYFUNCTION("IMPORTRANGE(""https://docs.google.com/spreadsheets/d/1IYY_tgx_IHuhSq3AJ5eI5OnqOPBNLWSHKh2a30DoXe8/edit?usp=sharing"",""พังงา!L277"")"),0)</f>
        <v>0</v>
      </c>
      <c r="M382" s="168"/>
      <c r="N382" s="168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IFERROR(__xludf.DUMMYFUNCTION("IMPORTRANGE(""https://docs.google.com/spreadsheets/d/1IYY_tgx_IHuhSq3AJ5eI5OnqOPBNLWSHKh2a30DoXe8/edit?usp=sharing"",""พังงา!M278"")"),421500)</f>
        <v>421500</v>
      </c>
      <c r="O383" s="169">
        <f t="shared" ca="1" si="109"/>
        <v>91.602555743904034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IFERROR(__xludf.DUMMYFUNCTION("IMPORTRANGE(""https://docs.google.com/spreadsheets/d/1IYY_tgx_IHuhSq3AJ5eI5OnqOPBNLWSHKh2a30DoXe8/edit?usp=sharing"",""พังงา!L279"")"),0)</f>
        <v>0</v>
      </c>
      <c r="M384" s="175"/>
      <c r="N384" s="175">
        <f ca="1">IFERROR(__xludf.DUMMYFUNCTION("IMPORTRANGE(""https://docs.google.com/spreadsheets/d/1IYY_tgx_IHuhSq3AJ5eI5OnqOPBNLWSHKh2a30DoXe8/edit?usp=sharing"",""พังงา!M279"")"),0)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IFERROR(__xludf.DUMMYFUNCTION("IMPORTRANGE(""https://docs.google.com/spreadsheets/d/1IYY_tgx_IHuhSq3AJ5eI5OnqOPBNLWSHKh2a30DoXe8/edit?usp=sharing"",""พังงา!L280"")"),460140)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IFERROR(__xludf.DUMMYFUNCTION("IMPORTRANGE(""https://docs.google.com/spreadsheets/d/1IYY_tgx_IHuhSq3AJ5eI5OnqOPBNLWSHKh2a30DoXe8/edit?usp=sharing"",""พังงา!M280"")"),421500)</f>
        <v>421500</v>
      </c>
      <c r="O385" s="175">
        <f t="shared" ca="1" si="109"/>
        <v>91.602555743904034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IFERROR(__xludf.DUMMYFUNCTION("IMPORTRANGE(""https://docs.google.com/spreadsheets/d/1IYY_tgx_IHuhSq3AJ5eI5OnqOPBNLWSHKh2a30DoXe8/edit?usp=sharing"",""พังงา!M281"")"),96810)</f>
        <v>96810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IFERROR(__xludf.DUMMYFUNCTION("IMPORTRANGE(""https://docs.google.com/spreadsheets/d/1IYY_tgx_IHuhSq3AJ5eI5OnqOPBNLWSHKh2a30DoXe8/edit?usp=sharing"",""พังงา!M282"")"),312500)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IFERROR(__xludf.DUMMYFUNCTION("IMPORTRANGE(""https://docs.google.com/spreadsheets/d/1IYY_tgx_IHuhSq3AJ5eI5OnqOPBNLWSHKh2a30DoXe8/edit?usp=sharing"",""พังงา!M284"")"),12190)</f>
        <v>12190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IFERROR(__xludf.DUMMYFUNCTION("IMPORTRANGE(""https://docs.google.com/spreadsheets/d/1IYY_tgx_IHuhSq3AJ5eI5OnqOPBNLWSHKh2a30DoXe8/edit?usp=sharing"",""พังงา!J286"")"),0)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IFERROR(__xludf.DUMMYFUNCTION("IMPORTRANGE(""https://docs.google.com/spreadsheets/d/1IYY_tgx_IHuhSq3AJ5eI5OnqOPBNLWSHKh2a30DoXe8/edit?usp=sharing"",""พังงา!J287"")"),1)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IFERROR(__xludf.DUMMYFUNCTION("IMPORTRANGE(""https://docs.google.com/spreadsheets/d/1IYY_tgx_IHuhSq3AJ5eI5OnqOPBNLWSHKh2a30DoXe8/edit?usp=sharing"",""พังงา!J288"")"),1)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IFERROR(__xludf.DUMMYFUNCTION("IMPORTRANGE(""https://docs.google.com/spreadsheets/d/1IYY_tgx_IHuhSq3AJ5eI5OnqOPBNLWSHKh2a30DoXe8/edit?usp=sharing"",""พังงา!J289"")"),1)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IFERROR(__xludf.DUMMYFUNCTION("IMPORTRANGE(""https://docs.google.com/spreadsheets/d/1IYY_tgx_IHuhSq3AJ5eI5OnqOPBNLWSHKh2a30DoXe8/edit?usp=sharing"",""พังงา!I291"")"),50)</f>
        <v>50</v>
      </c>
      <c r="J396" s="204">
        <f ca="1">IFERROR(__xludf.DUMMYFUNCTION("IMPORTRANGE(""https://docs.google.com/spreadsheets/d/1IYY_tgx_IHuhSq3AJ5eI5OnqOPBNLWSHKh2a30DoXe8/edit?usp=sharing"",""พังงา!J291"")"),50)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IFERROR(__xludf.DUMMYFUNCTION("IMPORTRANGE(""https://docs.google.com/spreadsheets/d/1IYY_tgx_IHuhSq3AJ5eI5OnqOPBNLWSHKh2a30DoXe8/edit?usp=sharing"",""พังงา!I292"")"),500)</f>
        <v>500</v>
      </c>
      <c r="J397" s="204">
        <f ca="1">IFERROR(__xludf.DUMMYFUNCTION("IMPORTRANGE(""https://docs.google.com/spreadsheets/d/1IYY_tgx_IHuhSq3AJ5eI5OnqOPBNLWSHKh2a30DoXe8/edit?usp=sharing"",""พังงา!J292"")"),500)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IFERROR(__xludf.DUMMYFUNCTION("IMPORTRANGE(""https://docs.google.com/spreadsheets/d/1IYY_tgx_IHuhSq3AJ5eI5OnqOPBNLWSHKh2a30DoXe8/edit?usp=sharing"",""พังงา!I293"")"),50)</f>
        <v>50</v>
      </c>
      <c r="J398" s="204">
        <f ca="1">IFERROR(__xludf.DUMMYFUNCTION("IMPORTRANGE(""https://docs.google.com/spreadsheets/d/1IYY_tgx_IHuhSq3AJ5eI5OnqOPBNLWSHKh2a30DoXe8/edit?usp=sharing"",""พังงา!J293"")"),50)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IFERROR(__xludf.DUMMYFUNCTION("IMPORTRANGE(""https://docs.google.com/spreadsheets/d/1IYY_tgx_IHuhSq3AJ5eI5OnqOPBNLWSHKh2a30DoXe8/edit?usp=sharing"",""พังงา!J294"")"),0)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IFERROR(__xludf.DUMMYFUNCTION("IMPORTRANGE(""https://docs.google.com/spreadsheets/d/1IYY_tgx_IHuhSq3AJ5eI5OnqOPBNLWSHKh2a30DoXe8/edit?usp=sharing"",""พังงา!J295"")"),0)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IFERROR(__xludf.DUMMYFUNCTION("IMPORTRANGE(""https://docs.google.com/spreadsheets/d/1IYY_tgx_IHuhSq3AJ5eI5OnqOPBNLWSHKh2a30DoXe8/edit?usp=sharing"",""พังงา!M296"")"),36085)</f>
        <v>36085</v>
      </c>
      <c r="O401" s="379">
        <f ca="1">+IF(L401&gt;0,N401*100/L401,0)</f>
        <v>31.022180192572215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IFERROR(__xludf.DUMMYFUNCTION("IMPORTRANGE(""https://docs.google.com/spreadsheets/d/1IYY_tgx_IHuhSq3AJ5eI5OnqOPBNLWSHKh2a30DoXe8/edit?usp=sharing"",""พังงา!L298"")"),0)</f>
        <v>0</v>
      </c>
      <c r="M403" s="168"/>
      <c r="N403" s="175">
        <f ca="1">IFERROR(__xludf.DUMMYFUNCTION("IMPORTRANGE(""https://docs.google.com/spreadsheets/d/1IYY_tgx_IHuhSq3AJ5eI5OnqOPBNLWSHKh2a30DoXe8/edit?usp=sharing"",""พังงา!M298"")"),0)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IFERROR(__xludf.DUMMYFUNCTION("IMPORTRANGE(""https://docs.google.com/spreadsheets/d/1IYY_tgx_IHuhSq3AJ5eI5OnqOPBNLWSHKh2a30DoXe8/edit?usp=sharing"",""พังงา!M299"")"),36085)</f>
        <v>36085</v>
      </c>
      <c r="O404" s="175">
        <f t="shared" ca="1" si="112"/>
        <v>31.022180192572215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IFERROR(__xludf.DUMMYFUNCTION("IMPORTRANGE(""https://docs.google.com/spreadsheets/d/1IYY_tgx_IHuhSq3AJ5eI5OnqOPBNLWSHKh2a30DoXe8/edit?usp=sharing"",""พังงา!L300"")"),0)</f>
        <v>0</v>
      </c>
      <c r="M405" s="175"/>
      <c r="N405" s="175">
        <f ca="1">IFERROR(__xludf.DUMMYFUNCTION("IMPORTRANGE(""https://docs.google.com/spreadsheets/d/1IYY_tgx_IHuhSq3AJ5eI5OnqOPBNLWSHKh2a30DoXe8/edit?usp=sharing"",""พังงา!M300"")"),0)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IFERROR(__xludf.DUMMYFUNCTION("IMPORTRANGE(""https://docs.google.com/spreadsheets/d/1IYY_tgx_IHuhSq3AJ5eI5OnqOPBNLWSHKh2a30DoXe8/edit?usp=sharing"",""พังงา!L301"")"),116320)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IFERROR(__xludf.DUMMYFUNCTION("IMPORTRANGE(""https://docs.google.com/spreadsheets/d/1IYY_tgx_IHuhSq3AJ5eI5OnqOPBNLWSHKh2a30DoXe8/edit?usp=sharing"",""พังงา!M301"")"),36085)</f>
        <v>36085</v>
      </c>
      <c r="O406" s="175">
        <f t="shared" ca="1" si="112"/>
        <v>31.022180192572215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IFERROR(__xludf.DUMMYFUNCTION("IMPORTRANGE(""https://docs.google.com/spreadsheets/d/1IYY_tgx_IHuhSq3AJ5eI5OnqOPBNLWSHKh2a30DoXe8/edit?usp=sharing"",""พังงา!M302"")"),32095)</f>
        <v>32095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IFERROR(__xludf.DUMMYFUNCTION("IMPORTRANGE(""https://docs.google.com/spreadsheets/d/1IYY_tgx_IHuhSq3AJ5eI5OnqOPBNLWSHKh2a30DoXe8/edit?usp=sharing"",""พังงา!M303"")"),0)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IFERROR(__xludf.DUMMYFUNCTION("IMPORTRANGE(""https://docs.google.com/spreadsheets/d/1IYY_tgx_IHuhSq3AJ5eI5OnqOPBNLWSHKh2a30DoXe8/edit?usp=sharing"",""พังงา!M305"")"),3990)</f>
        <v>3990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IFERROR(__xludf.DUMMYFUNCTION("IMPORTRANGE(""https://docs.google.com/spreadsheets/d/1IYY_tgx_IHuhSq3AJ5eI5OnqOPBNLWSHKh2a30DoXe8/edit?usp=sharing"",""พังงา!J307"")"),0)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IFERROR(__xludf.DUMMYFUNCTION("IMPORTRANGE(""https://docs.google.com/spreadsheets/d/1IYY_tgx_IHuhSq3AJ5eI5OnqOPBNLWSHKh2a30DoXe8/edit?usp=sharing"",""พังงา!J308"")"),1)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IFERROR(__xludf.DUMMYFUNCTION("IMPORTRANGE(""https://docs.google.com/spreadsheets/d/1IYY_tgx_IHuhSq3AJ5eI5OnqOPBNLWSHKh2a30DoXe8/edit?usp=sharing"",""พังงา!J309"")"),1)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IFERROR(__xludf.DUMMYFUNCTION("IMPORTRANGE(""https://docs.google.com/spreadsheets/d/1IYY_tgx_IHuhSq3AJ5eI5OnqOPBNLWSHKh2a30DoXe8/edit?usp=sharing"",""พังงา!J310"")"),1)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IFERROR(__xludf.DUMMYFUNCTION("IMPORTRANGE(""https://docs.google.com/spreadsheets/d/1IYY_tgx_IHuhSq3AJ5eI5OnqOPBNLWSHKh2a30DoXe8/edit?usp=sharing"",""พังงา!I311"")"),30)</f>
        <v>30</v>
      </c>
      <c r="J416" s="207">
        <f ca="1">IFERROR(__xludf.DUMMYFUNCTION("IMPORTRANGE(""https://docs.google.com/spreadsheets/d/1IYY_tgx_IHuhSq3AJ5eI5OnqOPBNLWSHKh2a30DoXe8/edit?usp=sharing"",""พังงา!J311"")"),30)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IFERROR(__xludf.DUMMYFUNCTION("IMPORTRANGE(""https://docs.google.com/spreadsheets/d/1IYY_tgx_IHuhSq3AJ5eI5OnqOPBNLWSHKh2a30DoXe8/edit?usp=sharing"",""พังงา!J328"")"),0)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IFERROR(__xludf.DUMMYFUNCTION("IMPORTRANGE(""https://docs.google.com/spreadsheets/d/1IYY_tgx_IHuhSq3AJ5eI5OnqOPBNLWSHKh2a30DoXe8/edit?usp=sharing"",""พังงา!J329"")"),0)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IFERROR(__xludf.DUMMYFUNCTION("IMPORTRANGE(""https://docs.google.com/spreadsheets/d/1IYY_tgx_IHuhSq3AJ5eI5OnqOPBNLWSHKh2a30DoXe8/edit?usp=sharing"",""พังงา!M330"")"),39125)</f>
        <v>39125</v>
      </c>
      <c r="O435" s="418">
        <f t="shared" ref="O435:O439" ca="1" si="114">+IF(L435&gt;0,N435*100/L435,0)</f>
        <v>44.460227272727273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IFERROR(__xludf.DUMMYFUNCTION("IMPORTRANGE(""https://docs.google.com/spreadsheets/d/1IYY_tgx_IHuhSq3AJ5eI5OnqOPBNLWSHKh2a30DoXe8/edit?usp=sharing"",""พังงา!L331"")"),0)</f>
        <v>0</v>
      </c>
      <c r="M436" s="168"/>
      <c r="N436" s="175">
        <f ca="1">IFERROR(__xludf.DUMMYFUNCTION("IMPORTRANGE(""https://docs.google.com/spreadsheets/d/1IYY_tgx_IHuhSq3AJ5eI5OnqOPBNLWSHKh2a30DoXe8/edit?usp=sharing"",""พังงา!M331"")"),0)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IFERROR(__xludf.DUMMYFUNCTION("IMPORTRANGE(""https://docs.google.com/spreadsheets/d/1IYY_tgx_IHuhSq3AJ5eI5OnqOPBNLWSHKh2a30DoXe8/edit?usp=sharing"",""พังงา!L332"")"),88000)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IFERROR(__xludf.DUMMYFUNCTION("IMPORTRANGE(""https://docs.google.com/spreadsheets/d/1IYY_tgx_IHuhSq3AJ5eI5OnqOPBNLWSHKh2a30DoXe8/edit?usp=sharing"",""พังงา!M332"")"),39125)</f>
        <v>39125</v>
      </c>
      <c r="O437" s="175">
        <f t="shared" ca="1" si="114"/>
        <v>44.460227272727273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IFERROR(__xludf.DUMMYFUNCTION("IMPORTRANGE(""https://docs.google.com/spreadsheets/d/1IYY_tgx_IHuhSq3AJ5eI5OnqOPBNLWSHKh2a30DoXe8/edit?usp=sharing"",""พังงา!L333"")"),0)</f>
        <v>0</v>
      </c>
      <c r="M438" s="175"/>
      <c r="N438" s="175">
        <f ca="1">IFERROR(__xludf.DUMMYFUNCTION("IMPORTRANGE(""https://docs.google.com/spreadsheets/d/1IYY_tgx_IHuhSq3AJ5eI5OnqOPBNLWSHKh2a30DoXe8/edit?usp=sharing"",""พังงา!M333"")"),0)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IFERROR(__xludf.DUMMYFUNCTION("IMPORTRANGE(""https://docs.google.com/spreadsheets/d/1IYY_tgx_IHuhSq3AJ5eI5OnqOPBNLWSHKh2a30DoXe8/edit?usp=sharing"",""พังงา!L334"")"),88000)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IFERROR(__xludf.DUMMYFUNCTION("IMPORTRANGE(""https://docs.google.com/spreadsheets/d/1IYY_tgx_IHuhSq3AJ5eI5OnqOPBNLWSHKh2a30DoXe8/edit?usp=sharing"",""พังงา!M334"")"),39125)</f>
        <v>39125</v>
      </c>
      <c r="O439" s="175">
        <f t="shared" ca="1" si="114"/>
        <v>44.460227272727273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IFERROR(__xludf.DUMMYFUNCTION("IMPORTRANGE(""https://docs.google.com/spreadsheets/d/1IYY_tgx_IHuhSq3AJ5eI5OnqOPBNLWSHKh2a30DoXe8/edit?usp=sharing"",""พังงา!M335"")"),23905)</f>
        <v>23905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IFERROR(__xludf.DUMMYFUNCTION("IMPORTRANGE(""https://docs.google.com/spreadsheets/d/1IYY_tgx_IHuhSq3AJ5eI5OnqOPBNLWSHKh2a30DoXe8/edit?usp=sharing"",""พังงา!M338"")"),15220)</f>
        <v>15220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IFERROR(__xludf.DUMMYFUNCTION("IMPORTRANGE(""https://docs.google.com/spreadsheets/d/1IYY_tgx_IHuhSq3AJ5eI5OnqOPBNLWSHKh2a30DoXe8/edit?usp=sharing"",""พังงา!J340"")"),0)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IFERROR(__xludf.DUMMYFUNCTION("IMPORTRANGE(""https://docs.google.com/spreadsheets/d/1IYY_tgx_IHuhSq3AJ5eI5OnqOPBNLWSHKh2a30DoXe8/edit?usp=sharing"",""พังงา!J341"")"),1)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IFERROR(__xludf.DUMMYFUNCTION("IMPORTRANGE(""https://docs.google.com/spreadsheets/d/1IYY_tgx_IHuhSq3AJ5eI5OnqOPBNLWSHKh2a30DoXe8/edit?usp=sharing"",""พังงา!J342"")"),1)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IFERROR(__xludf.DUMMYFUNCTION("IMPORTRANGE(""https://docs.google.com/spreadsheets/d/1IYY_tgx_IHuhSq3AJ5eI5OnqOPBNLWSHKh2a30DoXe8/edit?usp=sharing"",""พังงา!J343"")"),1)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7">
        <f ca="1">IFERROR(__xludf.DUMMYFUNCTION("IMPORTRANGE(""https://docs.google.com/spreadsheets/d/1IYY_tgx_IHuhSq3AJ5eI5OnqOPBNLWSHKh2a30DoXe8/edit?usp=sharing"",""พังงา!J344"")"),15)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5">
        <f ca="1">IFERROR(__xludf.DUMMYFUNCTION("IMPORTRANGE(""https://docs.google.com/spreadsheets/d/1IYY_tgx_IHuhSq3AJ5eI5OnqOPBNLWSHKh2a30DoXe8/edit?usp=sharing"",""พังงา!J345"")"),15)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4">
        <f ca="1">IFERROR(__xludf.DUMMYFUNCTION("IMPORTRANGE(""https://docs.google.com/spreadsheets/d/1IYY_tgx_IHuhSq3AJ5eI5OnqOPBNLWSHKh2a30DoXe8/edit?usp=sharing"",""พังงา!J346"")"),0)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IFERROR(__xludf.DUMMYFUNCTION("IMPORTRANGE(""https://docs.google.com/spreadsheets/d/1IYY_tgx_IHuhSq3AJ5eI5OnqOPBNLWSHKh2a30DoXe8/edit?usp=sharing"",""พังงา!I347"")"),0)</f>
        <v>0</v>
      </c>
      <c r="J452" s="194">
        <f ca="1">IFERROR(__xludf.DUMMYFUNCTION("IMPORTRANGE(""https://docs.google.com/spreadsheets/d/1IYY_tgx_IHuhSq3AJ5eI5OnqOPBNLWSHKh2a30DoXe8/edit?usp=sharing"",""พังงา!J347"")"),0)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IFERROR(__xludf.DUMMYFUNCTION("IMPORTRANGE(""https://docs.google.com/spreadsheets/d/1IYY_tgx_IHuhSq3AJ5eI5OnqOPBNLWSHKh2a30DoXe8/edit?usp=sharing"",""พังงา!J348"")"),0)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IFERROR(__xludf.DUMMYFUNCTION("IMPORTRANGE(""https://docs.google.com/spreadsheets/d/1IYY_tgx_IHuhSq3AJ5eI5OnqOPBNLWSHKh2a30DoXe8/edit?usp=sharing"",""พังงา!J349"")"),0)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IFERROR(__xludf.DUMMYFUNCTION("IMPORTRANGE(""https://docs.google.com/spreadsheets/d/1IYY_tgx_IHuhSq3AJ5eI5OnqOPBNLWSHKh2a30DoXe8/edit?usp=sharing"",""พังงา!J350"")"),20614.27)</f>
        <v>20614.27</v>
      </c>
      <c r="K455" s="378">
        <f ca="1">IF(I455&gt;0,J455*100/I455,0)</f>
        <v>98.732075290962214</v>
      </c>
      <c r="L455" s="379">
        <f ca="1">IFERROR(__xludf.DUMMYFUNCTION("IMPORTRANGE(""https://docs.google.com/spreadsheets/d/1IYY_tgx_IHuhSq3AJ5eI5OnqOPBNLWSHKh2a30DoXe8/edit?usp=sharing"",""พังงา!L350"")"),165422)</f>
        <v>165422</v>
      </c>
      <c r="M455" s="379"/>
      <c r="N455" s="379">
        <f ca="1">IFERROR(__xludf.DUMMYFUNCTION("IMPORTRANGE(""https://docs.google.com/spreadsheets/d/1IYY_tgx_IHuhSq3AJ5eI5OnqOPBNLWSHKh2a30DoXe8/edit?usp=sharing"",""พังงา!M350"")"),50120)</f>
        <v>50120</v>
      </c>
      <c r="O455" s="379">
        <f t="shared" ref="O455:O459" ca="1" si="116">+IF(L455&gt;0,N455*100/L455,0)</f>
        <v>30.29826746140175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IFERROR(__xludf.DUMMYFUNCTION("IMPORTRANGE(""https://docs.google.com/spreadsheets/d/1IYY_tgx_IHuhSq3AJ5eI5OnqOPBNLWSHKh2a30DoXe8/edit?usp=sharing"",""พังงา!L351"")"),0)</f>
        <v>0</v>
      </c>
      <c r="M456" s="168"/>
      <c r="N456" s="175">
        <f ca="1">IFERROR(__xludf.DUMMYFUNCTION("IMPORTRANGE(""https://docs.google.com/spreadsheets/d/1IYY_tgx_IHuhSq3AJ5eI5OnqOPBNLWSHKh2a30DoXe8/edit?usp=sharing"",""พังงา!M351"")"),0)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IFERROR(__xludf.DUMMYFUNCTION("IMPORTRANGE(""https://docs.google.com/spreadsheets/d/1IYY_tgx_IHuhSq3AJ5eI5OnqOPBNLWSHKh2a30DoXe8/edit?usp=sharing"",""พังงา!L352"")"),165422)</f>
        <v>165422</v>
      </c>
      <c r="M457" s="169"/>
      <c r="N457" s="175">
        <f ca="1">IFERROR(__xludf.DUMMYFUNCTION("IMPORTRANGE(""https://docs.google.com/spreadsheets/d/1IYY_tgx_IHuhSq3AJ5eI5OnqOPBNLWSHKh2a30DoXe8/edit?usp=sharing"",""พังงา!M352"")"),50120)</f>
        <v>50120</v>
      </c>
      <c r="O457" s="175">
        <f t="shared" ca="1" si="116"/>
        <v>30.29826746140175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IFERROR(__xludf.DUMMYFUNCTION("IMPORTRANGE(""https://docs.google.com/spreadsheets/d/1IYY_tgx_IHuhSq3AJ5eI5OnqOPBNLWSHKh2a30DoXe8/edit?usp=sharing"",""พังงา!L353"")"),0)</f>
        <v>0</v>
      </c>
      <c r="M458" s="175"/>
      <c r="N458" s="175">
        <f ca="1">IFERROR(__xludf.DUMMYFUNCTION("IMPORTRANGE(""https://docs.google.com/spreadsheets/d/1IYY_tgx_IHuhSq3AJ5eI5OnqOPBNLWSHKh2a30DoXe8/edit?usp=sharing"",""พังงา!M353"")"),0)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IFERROR(__xludf.DUMMYFUNCTION("IMPORTRANGE(""https://docs.google.com/spreadsheets/d/1IYY_tgx_IHuhSq3AJ5eI5OnqOPBNLWSHKh2a30DoXe8/edit?usp=sharing"",""พังงา!L354"")"),165422)</f>
        <v>165422</v>
      </c>
      <c r="M459" s="175"/>
      <c r="N459" s="175">
        <f ca="1">IFERROR(__xludf.DUMMYFUNCTION("IMPORTRANGE(""https://docs.google.com/spreadsheets/d/1IYY_tgx_IHuhSq3AJ5eI5OnqOPBNLWSHKh2a30DoXe8/edit?usp=sharing"",""พังงา!M354"")"),50120)</f>
        <v>50120</v>
      </c>
      <c r="O459" s="175">
        <f t="shared" ca="1" si="116"/>
        <v>30.29826746140175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IFERROR(__xludf.DUMMYFUNCTION("IMPORTRANGE(""https://docs.google.com/spreadsheets/d/1IYY_tgx_IHuhSq3AJ5eI5OnqOPBNLWSHKh2a30DoXe8/edit?usp=sharing"",""พังงา!M355"")"),0)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IFERROR(__xludf.DUMMYFUNCTION("IMPORTRANGE(""https://docs.google.com/spreadsheets/d/1IYY_tgx_IHuhSq3AJ5eI5OnqOPBNLWSHKh2a30DoXe8/edit?usp=sharing"",""พังงา!M356"")"),0)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IFERROR(__xludf.DUMMYFUNCTION("IMPORTRANGE(""https://docs.google.com/spreadsheets/d/1IYY_tgx_IHuhSq3AJ5eI5OnqOPBNLWSHKh2a30DoXe8/edit?usp=sharing"",""พังงา!M358"")"),50120)</f>
        <v>50120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IFERROR(__xludf.DUMMYFUNCTION("IMPORTRANGE(""https://docs.google.com/spreadsheets/d/1IYY_tgx_IHuhSq3AJ5eI5OnqOPBNLWSHKh2a30DoXe8/edit?usp=sharing"",""พังงา!I359"")"),20879)</f>
        <v>20879</v>
      </c>
      <c r="J464" s="273">
        <f ca="1">IFERROR(__xludf.DUMMYFUNCTION("IMPORTRANGE(""https://docs.google.com/spreadsheets/d/1IYY_tgx_IHuhSq3AJ5eI5OnqOPBNLWSHKh2a30DoXe8/edit?usp=sharing"",""พังงา!J359"")"),20614.27)</f>
        <v>20614.27</v>
      </c>
      <c r="K464" s="274">
        <f t="shared" ref="K464:K515" ca="1" si="117">IF(I464&gt;0,J464*100/I464,0)</f>
        <v>98.732075290962214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8">
        <f t="shared" ca="1" si="117"/>
        <v>100.00158053546627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IFERROR(__xludf.DUMMYFUNCTION("IMPORTRANGE(""https://docs.google.com/spreadsheets/d/1IYY_tgx_IHuhSq3AJ5eI5OnqOPBNLWSHKh2a30DoXe8/edit?usp=sharing"",""พังงา!I362"")"),0)</f>
        <v>0</v>
      </c>
      <c r="J467" s="195">
        <f ca="1">IFERROR(__xludf.DUMMYFUNCTION("IMPORTRANGE(""https://docs.google.com/spreadsheets/d/1IYY_tgx_IHuhSq3AJ5eI5OnqOPBNLWSHKh2a30DoXe8/edit?usp=sharing"",""พังงา!J362"")"),19998.83)</f>
        <v>19998.830000000002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IFERROR(__xludf.DUMMYFUNCTION("IMPORTRANGE(""https://docs.google.com/spreadsheets/d/1IYY_tgx_IHuhSq3AJ5eI5OnqOPBNLWSHKh2a30DoXe8/edit?usp=sharing"",""พังงา!I363"")"),0)</f>
        <v>0</v>
      </c>
      <c r="J468" s="195">
        <f ca="1">IFERROR(__xludf.DUMMYFUNCTION("IMPORTRANGE(""https://docs.google.com/spreadsheets/d/1IYY_tgx_IHuhSq3AJ5eI5OnqOPBNLWSHKh2a30DoXe8/edit?usp=sharing"",""พังงา!J363"")"),1988)</f>
        <v>1988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IFERROR(__xludf.DUMMYFUNCTION("IMPORTRANGE(""https://docs.google.com/spreadsheets/d/1IYY_tgx_IHuhSq3AJ5eI5OnqOPBNLWSHKh2a30DoXe8/edit?usp=sharing"",""พังงา!I364"")"),0)</f>
        <v>0</v>
      </c>
      <c r="J469" s="195">
        <f ca="1">IFERROR(__xludf.DUMMYFUNCTION("IMPORTRANGE(""https://docs.google.com/spreadsheets/d/1IYY_tgx_IHuhSq3AJ5eI5OnqOPBNLWSHKh2a30DoXe8/edit?usp=sharing"",""พังงา!J364"")"),539.73)</f>
        <v>539.73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IFERROR(__xludf.DUMMYFUNCTION("IMPORTRANGE(""https://docs.google.com/spreadsheets/d/1IYY_tgx_IHuhSq3AJ5eI5OnqOPBNLWSHKh2a30DoXe8/edit?usp=sharing"",""พังงา!I365"")"),0)</f>
        <v>0</v>
      </c>
      <c r="J470" s="195">
        <f ca="1">IFERROR(__xludf.DUMMYFUNCTION("IMPORTRANGE(""https://docs.google.com/spreadsheets/d/1IYY_tgx_IHuhSq3AJ5eI5OnqOPBNLWSHKh2a30DoXe8/edit?usp=sharing"",""พังงา!J365"")"),57)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IFERROR(__xludf.DUMMYFUNCTION("IMPORTRANGE(""https://docs.google.com/spreadsheets/d/1IYY_tgx_IHuhSq3AJ5eI5OnqOPBNLWSHKh2a30DoXe8/edit?usp=sharing"",""พังงา!I366"")"),0)</f>
        <v>0</v>
      </c>
      <c r="J471" s="195">
        <f ca="1">IFERROR(__xludf.DUMMYFUNCTION("IMPORTRANGE(""https://docs.google.com/spreadsheets/d/1IYY_tgx_IHuhSq3AJ5eI5OnqOPBNLWSHKh2a30DoXe8/edit?usp=sharing"",""พังงา!J366"")"),340.77)</f>
        <v>340.77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IFERROR(__xludf.DUMMYFUNCTION("IMPORTRANGE(""https://docs.google.com/spreadsheets/d/1IYY_tgx_IHuhSq3AJ5eI5OnqOPBNLWSHKh2a30DoXe8/edit?usp=sharing"",""พังงา!I367"")"),0)</f>
        <v>0</v>
      </c>
      <c r="J472" s="195">
        <f ca="1">IFERROR(__xludf.DUMMYFUNCTION("IMPORTRANGE(""https://docs.google.com/spreadsheets/d/1IYY_tgx_IHuhSq3AJ5eI5OnqOPBNLWSHKh2a30DoXe8/edit?usp=sharing"",""พังงา!J367"")"),48)</f>
        <v>48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IFERROR(__xludf.DUMMYFUNCTION("IMPORTRANGE(""https://docs.google.com/spreadsheets/d/1IYY_tgx_IHuhSq3AJ5eI5OnqOPBNLWSHKh2a30DoXe8/edit?usp=sharing"",""พังงา!J368"")"),20879.59)</f>
        <v>20879.59</v>
      </c>
      <c r="K473" s="208">
        <f t="shared" ca="1" si="117"/>
        <v>100.00282580583361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IFERROR(__xludf.DUMMYFUNCTION("IMPORTRANGE(""https://docs.google.com/spreadsheets/d/1IYY_tgx_IHuhSq3AJ5eI5OnqOPBNLWSHKh2a30DoXe8/edit?usp=sharing"",""พังงา!J369"")"),2093)</f>
        <v>2093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IFERROR(__xludf.DUMMYFUNCTION("IMPORTRANGE(""https://docs.google.com/spreadsheets/d/1IYY_tgx_IHuhSq3AJ5eI5OnqOPBNLWSHKh2a30DoXe8/edit?usp=sharing"",""พังงา!I370"")"),0)</f>
        <v>0</v>
      </c>
      <c r="J475" s="195">
        <f ca="1">IFERROR(__xludf.DUMMYFUNCTION("IMPORTRANGE(""https://docs.google.com/spreadsheets/d/1IYY_tgx_IHuhSq3AJ5eI5OnqOPBNLWSHKh2a30DoXe8/edit?usp=sharing"",""พังงา!J370"")"),20185.72)</f>
        <v>20185.72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IFERROR(__xludf.DUMMYFUNCTION("IMPORTRANGE(""https://docs.google.com/spreadsheets/d/1IYY_tgx_IHuhSq3AJ5eI5OnqOPBNLWSHKh2a30DoXe8/edit?usp=sharing"",""พังงา!I371"")"),0)</f>
        <v>0</v>
      </c>
      <c r="J476" s="195">
        <f ca="1">IFERROR(__xludf.DUMMYFUNCTION("IMPORTRANGE(""https://docs.google.com/spreadsheets/d/1IYY_tgx_IHuhSq3AJ5eI5OnqOPBNLWSHKh2a30DoXe8/edit?usp=sharing"",""พังงา!J371"")"),1998)</f>
        <v>1998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IFERROR(__xludf.DUMMYFUNCTION("IMPORTRANGE(""https://docs.google.com/spreadsheets/d/1IYY_tgx_IHuhSq3AJ5eI5OnqOPBNLWSHKh2a30DoXe8/edit?usp=sharing"",""พังงา!I372"")"),0)</f>
        <v>0</v>
      </c>
      <c r="J477" s="195">
        <f ca="1">IFERROR(__xludf.DUMMYFUNCTION("IMPORTRANGE(""https://docs.google.com/spreadsheets/d/1IYY_tgx_IHuhSq3AJ5eI5OnqOPBNLWSHKh2a30DoXe8/edit?usp=sharing"",""พังงา!J372"")"),338)</f>
        <v>338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IFERROR(__xludf.DUMMYFUNCTION("IMPORTRANGE(""https://docs.google.com/spreadsheets/d/1IYY_tgx_IHuhSq3AJ5eI5OnqOPBNLWSHKh2a30DoXe8/edit?usp=sharing"",""พังงา!I373"")"),0)</f>
        <v>0</v>
      </c>
      <c r="J478" s="195">
        <f ca="1">IFERROR(__xludf.DUMMYFUNCTION("IMPORTRANGE(""https://docs.google.com/spreadsheets/d/1IYY_tgx_IHuhSq3AJ5eI5OnqOPBNLWSHKh2a30DoXe8/edit?usp=sharing"",""พังงา!J373"")"),42)</f>
        <v>42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IFERROR(__xludf.DUMMYFUNCTION("IMPORTRANGE(""https://docs.google.com/spreadsheets/d/1IYY_tgx_IHuhSq3AJ5eI5OnqOPBNLWSHKh2a30DoXe8/edit?usp=sharing"",""พังงา!I374"")"),0)</f>
        <v>0</v>
      </c>
      <c r="J479" s="195">
        <f ca="1">IFERROR(__xludf.DUMMYFUNCTION("IMPORTRANGE(""https://docs.google.com/spreadsheets/d/1IYY_tgx_IHuhSq3AJ5eI5OnqOPBNLWSHKh2a30DoXe8/edit?usp=sharing"",""พังงา!J374"")"),355.87)</f>
        <v>355.87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IFERROR(__xludf.DUMMYFUNCTION("IMPORTRANGE(""https://docs.google.com/spreadsheets/d/1IYY_tgx_IHuhSq3AJ5eI5OnqOPBNLWSHKh2a30DoXe8/edit?usp=sharing"",""พังงา!I375"")"),0)</f>
        <v>0</v>
      </c>
      <c r="J480" s="195">
        <f ca="1">IFERROR(__xludf.DUMMYFUNCTION("IMPORTRANGE(""https://docs.google.com/spreadsheets/d/1IYY_tgx_IHuhSq3AJ5eI5OnqOPBNLWSHKh2a30DoXe8/edit?usp=sharing"",""พังงา!J375"")"),53)</f>
        <v>53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IFERROR(__xludf.DUMMYFUNCTION("IMPORTRANGE(""https://docs.google.com/spreadsheets/d/1IYY_tgx_IHuhSq3AJ5eI5OnqOPBNLWSHKh2a30DoXe8/edit?usp=sharing"",""พังงา!J376"")"),20614.27)</f>
        <v>20614.27</v>
      </c>
      <c r="K481" s="208">
        <f t="shared" ca="1" si="117"/>
        <v>98.732075290962214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IFERROR(__xludf.DUMMYFUNCTION("IMPORTRANGE(""https://docs.google.com/spreadsheets/d/1IYY_tgx_IHuhSq3AJ5eI5OnqOPBNLWSHKh2a30DoXe8/edit?usp=sharing"",""พังงา!J377"")"),2059)</f>
        <v>2059</v>
      </c>
      <c r="K482" s="208">
        <f t="shared" ca="1" si="117"/>
        <v>98.375537505972289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IFERROR(__xludf.DUMMYFUNCTION("IMPORTRANGE(""https://docs.google.com/spreadsheets/d/1IYY_tgx_IHuhSq3AJ5eI5OnqOPBNLWSHKh2a30DoXe8/edit?usp=sharing"",""พังงา!I378"")"),0)</f>
        <v>0</v>
      </c>
      <c r="J483" s="195">
        <f ca="1">IFERROR(__xludf.DUMMYFUNCTION("IMPORTRANGE(""https://docs.google.com/spreadsheets/d/1IYY_tgx_IHuhSq3AJ5eI5OnqOPBNLWSHKh2a30DoXe8/edit?usp=sharing"",""พังงา!J378"")"),20256.29)</f>
        <v>20256.29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IFERROR(__xludf.DUMMYFUNCTION("IMPORTRANGE(""https://docs.google.com/spreadsheets/d/1IYY_tgx_IHuhSq3AJ5eI5OnqOPBNLWSHKh2a30DoXe8/edit?usp=sharing"",""พังงา!I379"")"),0)</f>
        <v>0</v>
      </c>
      <c r="J484" s="195">
        <f ca="1">IFERROR(__xludf.DUMMYFUNCTION("IMPORTRANGE(""https://docs.google.com/spreadsheets/d/1IYY_tgx_IHuhSq3AJ5eI5OnqOPBNLWSHKh2a30DoXe8/edit?usp=sharing"",""พังงา!J379"")"),2005)</f>
        <v>2005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IFERROR(__xludf.DUMMYFUNCTION("IMPORTRANGE(""https://docs.google.com/spreadsheets/d/1IYY_tgx_IHuhSq3AJ5eI5OnqOPBNLWSHKh2a30DoXe8/edit?usp=sharing"",""พังงา!I380"")"),0)</f>
        <v>0</v>
      </c>
      <c r="J485" s="195">
        <f ca="1">IFERROR(__xludf.DUMMYFUNCTION("IMPORTRANGE(""https://docs.google.com/spreadsheets/d/1IYY_tgx_IHuhSq3AJ5eI5OnqOPBNLWSHKh2a30DoXe8/edit?usp=sharing"",""พังงา!J380"")"),0)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IFERROR(__xludf.DUMMYFUNCTION("IMPORTRANGE(""https://docs.google.com/spreadsheets/d/1IYY_tgx_IHuhSq3AJ5eI5OnqOPBNLWSHKh2a30DoXe8/edit?usp=sharing"",""พังงา!I381"")"),0)</f>
        <v>0</v>
      </c>
      <c r="J486" s="195">
        <f ca="1">IFERROR(__xludf.DUMMYFUNCTION("IMPORTRANGE(""https://docs.google.com/spreadsheets/d/1IYY_tgx_IHuhSq3AJ5eI5OnqOPBNLWSHKh2a30DoXe8/edit?usp=sharing"",""พังงา!J381"")"),0)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IFERROR(__xludf.DUMMYFUNCTION("IMPORTRANGE(""https://docs.google.com/spreadsheets/d/1IYY_tgx_IHuhSq3AJ5eI5OnqOPBNLWSHKh2a30DoXe8/edit?usp=sharing"",""พังงา!J382"")"),355.87)</f>
        <v>355.87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IFERROR(__xludf.DUMMYFUNCTION("IMPORTRANGE(""https://docs.google.com/spreadsheets/d/1IYY_tgx_IHuhSq3AJ5eI5OnqOPBNLWSHKh2a30DoXe8/edit?usp=sharing"",""พังงา!J383"")"),53)</f>
        <v>53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IFERROR(__xludf.DUMMYFUNCTION("IMPORTRANGE(""https://docs.google.com/spreadsheets/d/1IYY_tgx_IHuhSq3AJ5eI5OnqOPBNLWSHKh2a30DoXe8/edit?usp=sharing"",""พังงา!I384"")"),0)</f>
        <v>0</v>
      </c>
      <c r="J489" s="195">
        <f ca="1">IFERROR(__xludf.DUMMYFUNCTION("IMPORTRANGE(""https://docs.google.com/spreadsheets/d/1IYY_tgx_IHuhSq3AJ5eI5OnqOPBNLWSHKh2a30DoXe8/edit?usp=sharing"",""พังงา!J384"")"),355.87)</f>
        <v>355.87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IFERROR(__xludf.DUMMYFUNCTION("IMPORTRANGE(""https://docs.google.com/spreadsheets/d/1IYY_tgx_IHuhSq3AJ5eI5OnqOPBNLWSHKh2a30DoXe8/edit?usp=sharing"",""พังงา!I385"")"),0)</f>
        <v>0</v>
      </c>
      <c r="J490" s="195">
        <f ca="1">IFERROR(__xludf.DUMMYFUNCTION("IMPORTRANGE(""https://docs.google.com/spreadsheets/d/1IYY_tgx_IHuhSq3AJ5eI5OnqOPBNLWSHKh2a30DoXe8/edit?usp=sharing"",""พังงา!J385"")"),53)</f>
        <v>53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IFERROR(__xludf.DUMMYFUNCTION("IMPORTRANGE(""https://docs.google.com/spreadsheets/d/1IYY_tgx_IHuhSq3AJ5eI5OnqOPBNLWSHKh2a30DoXe8/edit?usp=sharing"",""พังงา!I386"")"),0)</f>
        <v>0</v>
      </c>
      <c r="J491" s="195">
        <f ca="1">IFERROR(__xludf.DUMMYFUNCTION("IMPORTRANGE(""https://docs.google.com/spreadsheets/d/1IYY_tgx_IHuhSq3AJ5eI5OnqOPBNLWSHKh2a30DoXe8/edit?usp=sharing"",""พังงา!J386"")"),0)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IFERROR(__xludf.DUMMYFUNCTION("IMPORTRANGE(""https://docs.google.com/spreadsheets/d/1IYY_tgx_IHuhSq3AJ5eI5OnqOPBNLWSHKh2a30DoXe8/edit?usp=sharing"",""พังงา!I387"")"),0)</f>
        <v>0</v>
      </c>
      <c r="J492" s="195">
        <f ca="1">IFERROR(__xludf.DUMMYFUNCTION("IMPORTRANGE(""https://docs.google.com/spreadsheets/d/1IYY_tgx_IHuhSq3AJ5eI5OnqOPBNLWSHKh2a30DoXe8/edit?usp=sharing"",""พังงา!J387"")"),0)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IFERROR(__xludf.DUMMYFUNCTION("IMPORTRANGE(""https://docs.google.com/spreadsheets/d/1IYY_tgx_IHuhSq3AJ5eI5OnqOPBNLWSHKh2a30DoXe8/edit?usp=sharing"",""พังงา!I388"")"),0)</f>
        <v>0</v>
      </c>
      <c r="J493" s="195">
        <f ca="1">IFERROR(__xludf.DUMMYFUNCTION("IMPORTRANGE(""https://docs.google.com/spreadsheets/d/1IYY_tgx_IHuhSq3AJ5eI5OnqOPBNLWSHKh2a30DoXe8/edit?usp=sharing"",""พังงา!J388"")"),0)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IFERROR(__xludf.DUMMYFUNCTION("IMPORTRANGE(""https://docs.google.com/spreadsheets/d/1IYY_tgx_IHuhSq3AJ5eI5OnqOPBNLWSHKh2a30DoXe8/edit?usp=sharing"",""พังงา!J390"")"),2.11)</f>
        <v>2.11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IFERROR(__xludf.DUMMYFUNCTION("IMPORTRANGE(""https://docs.google.com/spreadsheets/d/1IYY_tgx_IHuhSq3AJ5eI5OnqOPBNLWSHKh2a30DoXe8/edit?usp=sharing"",""พังงา!J391"")"),1)</f>
        <v>1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IFERROR(__xludf.DUMMYFUNCTION("IMPORTRANGE(""https://docs.google.com/spreadsheets/d/1IYY_tgx_IHuhSq3AJ5eI5OnqOPBNLWSHKh2a30DoXe8/edit?usp=sharing"",""พังงา!I395"")"),0)</f>
        <v>0</v>
      </c>
      <c r="J500" s="166">
        <f ca="1">IFERROR(__xludf.DUMMYFUNCTION("IMPORTRANGE(""https://docs.google.com/spreadsheets/d/1IYY_tgx_IHuhSq3AJ5eI5OnqOPBNLWSHKh2a30DoXe8/edit?usp=sharing"",""พังงา!J395"")"),0)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IFERROR(__xludf.DUMMYFUNCTION("IMPORTRANGE(""https://docs.google.com/spreadsheets/d/1IYY_tgx_IHuhSq3AJ5eI5OnqOPBNLWSHKh2a30DoXe8/edit?usp=sharing"",""พังงา!I396"")"),0)</f>
        <v>0</v>
      </c>
      <c r="J501" s="166">
        <f ca="1">IFERROR(__xludf.DUMMYFUNCTION("IMPORTRANGE(""https://docs.google.com/spreadsheets/d/1IYY_tgx_IHuhSq3AJ5eI5OnqOPBNLWSHKh2a30DoXe8/edit?usp=sharing"",""พังงา!J396"")"),0)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IFERROR(__xludf.DUMMYFUNCTION("IMPORTRANGE(""https://docs.google.com/spreadsheets/d/1IYY_tgx_IHuhSq3AJ5eI5OnqOPBNLWSHKh2a30DoXe8/edit?usp=sharing"",""พังงา!I397"")"),0)</f>
        <v>0</v>
      </c>
      <c r="J502" s="195">
        <f ca="1">IFERROR(__xludf.DUMMYFUNCTION("IMPORTRANGE(""https://docs.google.com/spreadsheets/d/1IYY_tgx_IHuhSq3AJ5eI5OnqOPBNLWSHKh2a30DoXe8/edit?usp=sharing"",""พังงา!J397"")"),0)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IFERROR(__xludf.DUMMYFUNCTION("IMPORTRANGE(""https://docs.google.com/spreadsheets/d/1IYY_tgx_IHuhSq3AJ5eI5OnqOPBNLWSHKh2a30DoXe8/edit?usp=sharing"",""พังงา!I398"")"),0)</f>
        <v>0</v>
      </c>
      <c r="J503" s="204">
        <f ca="1">IFERROR(__xludf.DUMMYFUNCTION("IMPORTRANGE(""https://docs.google.com/spreadsheets/d/1IYY_tgx_IHuhSq3AJ5eI5OnqOPBNLWSHKh2a30DoXe8/edit?usp=sharing"",""พังงา!J398"")"),0)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IFERROR(__xludf.DUMMYFUNCTION("IMPORTRANGE(""https://docs.google.com/spreadsheets/d/1IYY_tgx_IHuhSq3AJ5eI5OnqOPBNLWSHKh2a30DoXe8/edit?usp=sharing"",""พังงา!I399"")"),0)</f>
        <v>0</v>
      </c>
      <c r="J504" s="195">
        <f ca="1">IFERROR(__xludf.DUMMYFUNCTION("IMPORTRANGE(""https://docs.google.com/spreadsheets/d/1IYY_tgx_IHuhSq3AJ5eI5OnqOPBNLWSHKh2a30DoXe8/edit?usp=sharing"",""พังงา!J399"")"),0)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IFERROR(__xludf.DUMMYFUNCTION("IMPORTRANGE(""https://docs.google.com/spreadsheets/d/1IYY_tgx_IHuhSq3AJ5eI5OnqOPBNLWSHKh2a30DoXe8/edit?usp=sharing"",""พังงา!I400"")"),0)</f>
        <v>0</v>
      </c>
      <c r="J505" s="204">
        <f ca="1">IFERROR(__xludf.DUMMYFUNCTION("IMPORTRANGE(""https://docs.google.com/spreadsheets/d/1IYY_tgx_IHuhSq3AJ5eI5OnqOPBNLWSHKh2a30DoXe8/edit?usp=sharing"",""พังงา!J400"")"),0)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IFERROR(__xludf.DUMMYFUNCTION("IMPORTRANGE(""https://docs.google.com/spreadsheets/d/1IYY_tgx_IHuhSq3AJ5eI5OnqOPBNLWSHKh2a30DoXe8/edit?usp=sharing"",""พังงา!I401"")"),0)</f>
        <v>0</v>
      </c>
      <c r="J506" s="195">
        <f ca="1">IFERROR(__xludf.DUMMYFUNCTION("IMPORTRANGE(""https://docs.google.com/spreadsheets/d/1IYY_tgx_IHuhSq3AJ5eI5OnqOPBNLWSHKh2a30DoXe8/edit?usp=sharing"",""พังงา!J401"")"),0)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IFERROR(__xludf.DUMMYFUNCTION("IMPORTRANGE(""https://docs.google.com/spreadsheets/d/1IYY_tgx_IHuhSq3AJ5eI5OnqOPBNLWSHKh2a30DoXe8/edit?usp=sharing"",""พังงา!I402"")"),0)</f>
        <v>0</v>
      </c>
      <c r="J507" s="204">
        <f ca="1">IFERROR(__xludf.DUMMYFUNCTION("IMPORTRANGE(""https://docs.google.com/spreadsheets/d/1IYY_tgx_IHuhSq3AJ5eI5OnqOPBNLWSHKh2a30DoXe8/edit?usp=sharing"",""พังงา!J402"")"),0)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IFERROR(__xludf.DUMMYFUNCTION("IMPORTRANGE(""https://docs.google.com/spreadsheets/d/1IYY_tgx_IHuhSq3AJ5eI5OnqOPBNLWSHKh2a30DoXe8/edit?usp=sharing"",""พังงา!I403"")"),0)</f>
        <v>0</v>
      </c>
      <c r="J508" s="166">
        <f ca="1">IFERROR(__xludf.DUMMYFUNCTION("IMPORTRANGE(""https://docs.google.com/spreadsheets/d/1IYY_tgx_IHuhSq3AJ5eI5OnqOPBNLWSHKh2a30DoXe8/edit?usp=sharing"",""พังงา!J403"")"),0)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IFERROR(__xludf.DUMMYFUNCTION("IMPORTRANGE(""https://docs.google.com/spreadsheets/d/1IYY_tgx_IHuhSq3AJ5eI5OnqOPBNLWSHKh2a30DoXe8/edit?usp=sharing"",""พังงา!I404"")"),0)</f>
        <v>0</v>
      </c>
      <c r="J509" s="166">
        <f ca="1">IFERROR(__xludf.DUMMYFUNCTION("IMPORTRANGE(""https://docs.google.com/spreadsheets/d/1IYY_tgx_IHuhSq3AJ5eI5OnqOPBNLWSHKh2a30DoXe8/edit?usp=sharing"",""พังงา!J404"")"),0)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IFERROR(__xludf.DUMMYFUNCTION("IMPORTRANGE(""https://docs.google.com/spreadsheets/d/1IYY_tgx_IHuhSq3AJ5eI5OnqOPBNLWSHKh2a30DoXe8/edit?usp=sharing"",""พังงา!I405"")"),0)</f>
        <v>0</v>
      </c>
      <c r="J510" s="204">
        <f ca="1">IFERROR(__xludf.DUMMYFUNCTION("IMPORTRANGE(""https://docs.google.com/spreadsheets/d/1IYY_tgx_IHuhSq3AJ5eI5OnqOPBNLWSHKh2a30DoXe8/edit?usp=sharing"",""พังงา!J405"")"),0)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IFERROR(__xludf.DUMMYFUNCTION("IMPORTRANGE(""https://docs.google.com/spreadsheets/d/1IYY_tgx_IHuhSq3AJ5eI5OnqOPBNLWSHKh2a30DoXe8/edit?usp=sharing"",""พังงา!I406"")"),0)</f>
        <v>0</v>
      </c>
      <c r="J511" s="204">
        <f ca="1">IFERROR(__xludf.DUMMYFUNCTION("IMPORTRANGE(""https://docs.google.com/spreadsheets/d/1IYY_tgx_IHuhSq3AJ5eI5OnqOPBNLWSHKh2a30DoXe8/edit?usp=sharing"",""พังงา!J406"")"),0)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IFERROR(__xludf.DUMMYFUNCTION("IMPORTRANGE(""https://docs.google.com/spreadsheets/d/1IYY_tgx_IHuhSq3AJ5eI5OnqOPBNLWSHKh2a30DoXe8/edit?usp=sharing"",""พังงา!I407"")"),0)</f>
        <v>0</v>
      </c>
      <c r="J512" s="204">
        <f ca="1">IFERROR(__xludf.DUMMYFUNCTION("IMPORTRANGE(""https://docs.google.com/spreadsheets/d/1IYY_tgx_IHuhSq3AJ5eI5OnqOPBNLWSHKh2a30DoXe8/edit?usp=sharing"",""พังงา!J407"")"),0)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IFERROR(__xludf.DUMMYFUNCTION("IMPORTRANGE(""https://docs.google.com/spreadsheets/d/1IYY_tgx_IHuhSq3AJ5eI5OnqOPBNLWSHKh2a30DoXe8/edit?usp=sharing"",""พังงา!I408"")"),0)</f>
        <v>0</v>
      </c>
      <c r="J513" s="204">
        <f ca="1">IFERROR(__xludf.DUMMYFUNCTION("IMPORTRANGE(""https://docs.google.com/spreadsheets/d/1IYY_tgx_IHuhSq3AJ5eI5OnqOPBNLWSHKh2a30DoXe8/edit?usp=sharing"",""พังงา!J408"")"),0)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IFERROR(__xludf.DUMMYFUNCTION("IMPORTRANGE(""https://docs.google.com/spreadsheets/d/1IYY_tgx_IHuhSq3AJ5eI5OnqOPBNLWSHKh2a30DoXe8/edit?usp=sharing"",""พังงา!I409"")"),0)</f>
        <v>0</v>
      </c>
      <c r="J514" s="204">
        <f ca="1">IFERROR(__xludf.DUMMYFUNCTION("IMPORTRANGE(""https://docs.google.com/spreadsheets/d/1IYY_tgx_IHuhSq3AJ5eI5OnqOPBNLWSHKh2a30DoXe8/edit?usp=sharing"",""พังงา!J409"")"),0)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IFERROR(__xludf.DUMMYFUNCTION("IMPORTRANGE(""https://docs.google.com/spreadsheets/d/1IYY_tgx_IHuhSq3AJ5eI5OnqOPBNLWSHKh2a30DoXe8/edit?usp=sharing"",""พังงา!I410"")"),0)</f>
        <v>0</v>
      </c>
      <c r="J515" s="204">
        <f ca="1">IFERROR(__xludf.DUMMYFUNCTION("IMPORTRANGE(""https://docs.google.com/spreadsheets/d/1IYY_tgx_IHuhSq3AJ5eI5OnqOPBNLWSHKh2a30DoXe8/edit?usp=sharing"",""พังงา!J410"")"),0)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IFERROR(__xludf.DUMMYFUNCTION("IMPORTRANGE(""https://docs.google.com/spreadsheets/d/1IYY_tgx_IHuhSq3AJ5eI5OnqOPBNLWSHKh2a30DoXe8/edit?usp=sharing"",""พังงา!I411"")"),0)</f>
        <v>0</v>
      </c>
      <c r="J516" s="273">
        <f ca="1">IFERROR(__xludf.DUMMYFUNCTION("IMPORTRANGE(""https://docs.google.com/spreadsheets/d/1IYY_tgx_IHuhSq3AJ5eI5OnqOPBNLWSHKh2a30DoXe8/edit?usp=sharing"",""พังงา!J411"")"),0)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IFERROR(__xludf.DUMMYFUNCTION("IMPORTRANGE(""https://docs.google.com/spreadsheets/d/1IYY_tgx_IHuhSq3AJ5eI5OnqOPBNLWSHKh2a30DoXe8/edit?usp=sharing"",""พังงา!I414"")"),0)</f>
        <v>0</v>
      </c>
      <c r="J519" s="194">
        <f ca="1">IFERROR(__xludf.DUMMYFUNCTION("IMPORTRANGE(""https://docs.google.com/spreadsheets/d/1IYY_tgx_IHuhSq3AJ5eI5OnqOPBNLWSHKh2a30DoXe8/edit?usp=sharing"",""พังงา!J414"")"),0)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IFERROR(__xludf.DUMMYFUNCTION("IMPORTRANGE(""https://docs.google.com/spreadsheets/d/1IYY_tgx_IHuhSq3AJ5eI5OnqOPBNLWSHKh2a30DoXe8/edit?usp=sharing"",""พังงา!I415"")"),0)</f>
        <v>0</v>
      </c>
      <c r="J520" s="194">
        <f ca="1">IFERROR(__xludf.DUMMYFUNCTION("IMPORTRANGE(""https://docs.google.com/spreadsheets/d/1IYY_tgx_IHuhSq3AJ5eI5OnqOPBNLWSHKh2a30DoXe8/edit?usp=sharing"",""พังงา!J415"")"),0)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IFERROR(__xludf.DUMMYFUNCTION("IMPORTRANGE(""https://docs.google.com/spreadsheets/d/1IYY_tgx_IHuhSq3AJ5eI5OnqOPBNLWSHKh2a30DoXe8/edit?usp=sharing"",""พังงา!I416"")"),0)</f>
        <v>0</v>
      </c>
      <c r="J521" s="194">
        <f ca="1">IFERROR(__xludf.DUMMYFUNCTION("IMPORTRANGE(""https://docs.google.com/spreadsheets/d/1IYY_tgx_IHuhSq3AJ5eI5OnqOPBNLWSHKh2a30DoXe8/edit?usp=sharing"",""พังงา!J416"")"),0)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IFERROR(__xludf.DUMMYFUNCTION("IMPORTRANGE(""https://docs.google.com/spreadsheets/d/1IYY_tgx_IHuhSq3AJ5eI5OnqOPBNLWSHKh2a30DoXe8/edit?usp=sharing"",""พังงา!I417"")"),0)</f>
        <v>0</v>
      </c>
      <c r="J522" s="194">
        <f ca="1">IFERROR(__xludf.DUMMYFUNCTION("IMPORTRANGE(""https://docs.google.com/spreadsheets/d/1IYY_tgx_IHuhSq3AJ5eI5OnqOPBNLWSHKh2a30DoXe8/edit?usp=sharing"",""พังงา!J417"")"),0)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IFERROR(__xludf.DUMMYFUNCTION("IMPORTRANGE(""https://docs.google.com/spreadsheets/d/1IYY_tgx_IHuhSq3AJ5eI5OnqOPBNLWSHKh2a30DoXe8/edit?usp=sharing"",""พังงา!I418"")"),0)</f>
        <v>0</v>
      </c>
      <c r="J523" s="194">
        <f ca="1">IFERROR(__xludf.DUMMYFUNCTION("IMPORTRANGE(""https://docs.google.com/spreadsheets/d/1IYY_tgx_IHuhSq3AJ5eI5OnqOPBNLWSHKh2a30DoXe8/edit?usp=sharing"",""พังงา!J418"")"),36)</f>
        <v>36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IFERROR(__xludf.DUMMYFUNCTION("IMPORTRANGE(""https://docs.google.com/spreadsheets/d/1IYY_tgx_IHuhSq3AJ5eI5OnqOPBNLWSHKh2a30DoXe8/edit?usp=sharing"",""พังงา!I419"")"),0)</f>
        <v>0</v>
      </c>
      <c r="J524" s="194">
        <f ca="1">IFERROR(__xludf.DUMMYFUNCTION("IMPORTRANGE(""https://docs.google.com/spreadsheets/d/1IYY_tgx_IHuhSq3AJ5eI5OnqOPBNLWSHKh2a30DoXe8/edit?usp=sharing"",""พังงา!J419"")"),4)</f>
        <v>4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IFERROR(__xludf.DUMMYFUNCTION("IMPORTRANGE(""https://docs.google.com/spreadsheets/d/1IYY_tgx_IHuhSq3AJ5eI5OnqOPBNLWSHKh2a30DoXe8/edit?usp=sharing"",""พังงา!J420"")"),36)</f>
        <v>36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IFERROR(__xludf.DUMMYFUNCTION("IMPORTRANGE(""https://docs.google.com/spreadsheets/d/1IYY_tgx_IHuhSq3AJ5eI5OnqOPBNLWSHKh2a30DoXe8/edit?usp=sharing"",""พังงา!J421"")"),4)</f>
        <v>4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IFERROR(__xludf.DUMMYFUNCTION("IMPORTRANGE(""https://docs.google.com/spreadsheets/d/1IYY_tgx_IHuhSq3AJ5eI5OnqOPBNLWSHKh2a30DoXe8/edit?usp=sharing"",""พังงา!I422"")"),0)</f>
        <v>0</v>
      </c>
      <c r="J527" s="204">
        <f ca="1">IFERROR(__xludf.DUMMYFUNCTION("IMPORTRANGE(""https://docs.google.com/spreadsheets/d/1IYY_tgx_IHuhSq3AJ5eI5OnqOPBNLWSHKh2a30DoXe8/edit?usp=sharing"",""พังงา!J422"")"),0)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IFERROR(__xludf.DUMMYFUNCTION("IMPORTRANGE(""https://docs.google.com/spreadsheets/d/1IYY_tgx_IHuhSq3AJ5eI5OnqOPBNLWSHKh2a30DoXe8/edit?usp=sharing"",""พังงา!I423"")"),0)</f>
        <v>0</v>
      </c>
      <c r="J528" s="204">
        <f ca="1">IFERROR(__xludf.DUMMYFUNCTION("IMPORTRANGE(""https://docs.google.com/spreadsheets/d/1IYY_tgx_IHuhSq3AJ5eI5OnqOPBNLWSHKh2a30DoXe8/edit?usp=sharing"",""พังงา!J423"")"),0)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IFERROR(__xludf.DUMMYFUNCTION("IMPORTRANGE(""https://docs.google.com/spreadsheets/d/1IYY_tgx_IHuhSq3AJ5eI5OnqOPBNLWSHKh2a30DoXe8/edit?usp=sharing"",""พังงา!I424"")"),0)</f>
        <v>0</v>
      </c>
      <c r="J529" s="204">
        <f ca="1">IFERROR(__xludf.DUMMYFUNCTION("IMPORTRANGE(""https://docs.google.com/spreadsheets/d/1IYY_tgx_IHuhSq3AJ5eI5OnqOPBNLWSHKh2a30DoXe8/edit?usp=sharing"",""พังงา!J424"")"),22)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IFERROR(__xludf.DUMMYFUNCTION("IMPORTRANGE(""https://docs.google.com/spreadsheets/d/1IYY_tgx_IHuhSq3AJ5eI5OnqOPBNLWSHKh2a30DoXe8/edit?usp=sharing"",""พังงา!I425"")"),0)</f>
        <v>0</v>
      </c>
      <c r="J530" s="204">
        <f ca="1">IFERROR(__xludf.DUMMYFUNCTION("IMPORTRANGE(""https://docs.google.com/spreadsheets/d/1IYY_tgx_IHuhSq3AJ5eI5OnqOPBNLWSHKh2a30DoXe8/edit?usp=sharing"",""พังงา!J425"")"),3)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IFERROR(__xludf.DUMMYFUNCTION("IMPORTRANGE(""https://docs.google.com/spreadsheets/d/1IYY_tgx_IHuhSq3AJ5eI5OnqOPBNLWSHKh2a30DoXe8/edit?usp=sharing"",""พังงา!I426"")"),0)</f>
        <v>0</v>
      </c>
      <c r="J531" s="204">
        <f ca="1">IFERROR(__xludf.DUMMYFUNCTION("IMPORTRANGE(""https://docs.google.com/spreadsheets/d/1IYY_tgx_IHuhSq3AJ5eI5OnqOPBNLWSHKh2a30DoXe8/edit?usp=sharing"",""พังงา!J426"")"),14)</f>
        <v>14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IFERROR(__xludf.DUMMYFUNCTION("IMPORTRANGE(""https://docs.google.com/spreadsheets/d/1IYY_tgx_IHuhSq3AJ5eI5OnqOPBNLWSHKh2a30DoXe8/edit?usp=sharing"",""พังงา!J427"")"),1)</f>
        <v>1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IFERROR(__xludf.DUMMYFUNCTION("IMPORTRANGE(""https://docs.google.com/spreadsheets/d/1IYY_tgx_IHuhSq3AJ5eI5OnqOPBNLWSHKh2a30DoXe8/edit?usp=sharing"",""พังงา!L428"")"),36040)</f>
        <v>36040</v>
      </c>
      <c r="M533" s="418"/>
      <c r="N533" s="418">
        <f ca="1">IFERROR(__xludf.DUMMYFUNCTION("IMPORTRANGE(""https://docs.google.com/spreadsheets/d/1IYY_tgx_IHuhSq3AJ5eI5OnqOPBNLWSHKh2a30DoXe8/edit?usp=sharing"",""พังงา!M428"")"),29500)</f>
        <v>29500</v>
      </c>
      <c r="O533" s="418">
        <f t="shared" ref="O533:O537" ca="1" si="118">+IF(L533&gt;0,N533*100/L533,0)</f>
        <v>81.853496115427305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IFERROR(__xludf.DUMMYFUNCTION("IMPORTRANGE(""https://docs.google.com/spreadsheets/d/1IYY_tgx_IHuhSq3AJ5eI5OnqOPBNLWSHKh2a30DoXe8/edit?usp=sharing"",""พังงา!L429"")"),0)</f>
        <v>0</v>
      </c>
      <c r="M534" s="168"/>
      <c r="N534" s="175">
        <f ca="1">IFERROR(__xludf.DUMMYFUNCTION("IMPORTRANGE(""https://docs.google.com/spreadsheets/d/1IYY_tgx_IHuhSq3AJ5eI5OnqOPBNLWSHKh2a30DoXe8/edit?usp=sharing"",""พังงา!M429"")"),0)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IFERROR(__xludf.DUMMYFUNCTION("IMPORTRANGE(""https://docs.google.com/spreadsheets/d/1IYY_tgx_IHuhSq3AJ5eI5OnqOPBNLWSHKh2a30DoXe8/edit?usp=sharing"",""พังงา!L430"")"),36040)</f>
        <v>36040</v>
      </c>
      <c r="M535" s="169"/>
      <c r="N535" s="175">
        <f ca="1">IFERROR(__xludf.DUMMYFUNCTION("IMPORTRANGE(""https://docs.google.com/spreadsheets/d/1IYY_tgx_IHuhSq3AJ5eI5OnqOPBNLWSHKh2a30DoXe8/edit?usp=sharing"",""พังงา!M430"")"),29500)</f>
        <v>29500</v>
      </c>
      <c r="O535" s="175">
        <f t="shared" ca="1" si="118"/>
        <v>81.853496115427305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IFERROR(__xludf.DUMMYFUNCTION("IMPORTRANGE(""https://docs.google.com/spreadsheets/d/1IYY_tgx_IHuhSq3AJ5eI5OnqOPBNLWSHKh2a30DoXe8/edit?usp=sharing"",""พังงา!L431"")"),0)</f>
        <v>0</v>
      </c>
      <c r="M536" s="175"/>
      <c r="N536" s="175">
        <f ca="1">IFERROR(__xludf.DUMMYFUNCTION("IMPORTRANGE(""https://docs.google.com/spreadsheets/d/1IYY_tgx_IHuhSq3AJ5eI5OnqOPBNLWSHKh2a30DoXe8/edit?usp=sharing"",""พังงา!M431"")"),0)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IFERROR(__xludf.DUMMYFUNCTION("IMPORTRANGE(""https://docs.google.com/spreadsheets/d/1IYY_tgx_IHuhSq3AJ5eI5OnqOPBNLWSHKh2a30DoXe8/edit?usp=sharing"",""พังงา!L432"")"),36040)</f>
        <v>36040</v>
      </c>
      <c r="M537" s="175"/>
      <c r="N537" s="175">
        <f ca="1">IFERROR(__xludf.DUMMYFUNCTION("IMPORTRANGE(""https://docs.google.com/spreadsheets/d/1IYY_tgx_IHuhSq3AJ5eI5OnqOPBNLWSHKh2a30DoXe8/edit?usp=sharing"",""พังงา!M432"")"),29500)</f>
        <v>29500</v>
      </c>
      <c r="O537" s="175">
        <f t="shared" ca="1" si="118"/>
        <v>81.853496115427305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IFERROR(__xludf.DUMMYFUNCTION("IMPORTRANGE(""https://docs.google.com/spreadsheets/d/1IYY_tgx_IHuhSq3AJ5eI5OnqOPBNLWSHKh2a30DoXe8/edit?usp=sharing"",""พังงา!M433"")"),19640)</f>
        <v>19640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IFERROR(__xludf.DUMMYFUNCTION("IMPORTRANGE(""https://docs.google.com/spreadsheets/d/1IYY_tgx_IHuhSq3AJ5eI5OnqOPBNLWSHKh2a30DoXe8/edit?usp=sharing"",""พังงา!M436"")"),9860)</f>
        <v>9860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IFERROR(__xludf.DUMMYFUNCTION("IMPORTRANGE(""https://docs.google.com/spreadsheets/d/1IYY_tgx_IHuhSq3AJ5eI5OnqOPBNLWSHKh2a30DoXe8/edit?usp=sharing"",""พังงา!J438"")"),0)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IFERROR(__xludf.DUMMYFUNCTION("IMPORTRANGE(""https://docs.google.com/spreadsheets/d/1IYY_tgx_IHuhSq3AJ5eI5OnqOPBNLWSHKh2a30DoXe8/edit?usp=sharing"",""พังงา!J439"")"),1)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IFERROR(__xludf.DUMMYFUNCTION("IMPORTRANGE(""https://docs.google.com/spreadsheets/d/1IYY_tgx_IHuhSq3AJ5eI5OnqOPBNLWSHKh2a30DoXe8/edit?usp=sharing"",""พังงา!J440"")"),1)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IFERROR(__xludf.DUMMYFUNCTION("IMPORTRANGE(""https://docs.google.com/spreadsheets/d/1IYY_tgx_IHuhSq3AJ5eI5OnqOPBNLWSHKh2a30DoXe8/edit?usp=sharing"",""พังงา!J441"")"),1)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IFERROR(__xludf.DUMMYFUNCTION("IMPORTRANGE(""https://docs.google.com/spreadsheets/d/1IYY_tgx_IHuhSq3AJ5eI5OnqOPBNLWSHKh2a30DoXe8/edit?usp=sharing"",""พังงา!I442"")"),24)</f>
        <v>24</v>
      </c>
      <c r="J547" s="195">
        <f ca="1">IFERROR(__xludf.DUMMYFUNCTION("IMPORTRANGE(""https://docs.google.com/spreadsheets/d/1IYY_tgx_IHuhSq3AJ5eI5OnqOPBNLWSHKh2a30DoXe8/edit?usp=sharing"",""พังงา!J442"")"),24)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IFERROR(__xludf.DUMMYFUNCTION("IMPORTRANGE(""https://docs.google.com/spreadsheets/d/1IYY_tgx_IHuhSq3AJ5eI5OnqOPBNLWSHKh2a30DoXe8/edit?usp=sharing"",""พังงา!J166"")"),0)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IFERROR(__xludf.DUMMYFUNCTION("IMPORTRANGE(""https://docs.google.com/spreadsheets/d/1IYY_tgx_IHuhSq3AJ5eI5OnqOPBNLWSHKh2a30DoXe8/edit?usp=sharing"",""พังงา!J444"")"),0)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IFERROR(__xludf.DUMMYFUNCTION("IMPORTRANGE(""https://docs.google.com/spreadsheets/d/1IYY_tgx_IHuhSq3AJ5eI5OnqOPBNLWSHKh2a30DoXe8/edit?usp=sharing"",""พังงา!L447"")"),0)</f>
        <v>0</v>
      </c>
      <c r="M552" s="168"/>
      <c r="N552" s="175">
        <f ca="1">IFERROR(__xludf.DUMMYFUNCTION("IMPORTRANGE(""https://docs.google.com/spreadsheets/d/1IYY_tgx_IHuhSq3AJ5eI5OnqOPBNLWSHKh2a30DoXe8/edit?usp=sharing"",""พังงา!M447"")"),0)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5">
        <f ca="1">IFERROR(__xludf.DUMMYFUNCTION("IMPORTRANGE(""https://docs.google.com/spreadsheets/d/1IYY_tgx_IHuhSq3AJ5eI5OnqOPBNLWSHKh2a30DoXe8/edit?usp=sharing"",""พังงา!M448"")"),0)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IFERROR(__xludf.DUMMYFUNCTION("IMPORTRANGE(""https://docs.google.com/spreadsheets/d/1IYY_tgx_IHuhSq3AJ5eI5OnqOPBNLWSHKh2a30DoXe8/edit?usp=sharing"",""พังงา!L449"")"),0)</f>
        <v>0</v>
      </c>
      <c r="M554" s="175"/>
      <c r="N554" s="175">
        <f ca="1">IFERROR(__xludf.DUMMYFUNCTION("IMPORTRANGE(""https://docs.google.com/spreadsheets/d/1IYY_tgx_IHuhSq3AJ5eI5OnqOPBNLWSHKh2a30DoXe8/edit?usp=sharing"",""พังงา!M449"")"),0)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IFERROR(__xludf.DUMMYFUNCTION("IMPORTRANGE(""https://docs.google.com/spreadsheets/d/1IYY_tgx_IHuhSq3AJ5eI5OnqOPBNLWSHKh2a30DoXe8/edit?usp=sharing"",""พังงา!L450"")"),0)</f>
        <v>0</v>
      </c>
      <c r="M555" s="175"/>
      <c r="N555" s="175">
        <f ca="1">IFERROR(__xludf.DUMMYFUNCTION("IMPORTRANGE(""https://docs.google.com/spreadsheets/d/1IYY_tgx_IHuhSq3AJ5eI5OnqOPBNLWSHKh2a30DoXe8/edit?usp=sharing"",""พังงา!M450"")"),0)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IFERROR(__xludf.DUMMYFUNCTION("IMPORTRANGE(""https://docs.google.com/spreadsheets/d/1IYY_tgx_IHuhSq3AJ5eI5OnqOPBNLWSHKh2a30DoXe8/edit?usp=sharing"",""พังงา!M451"")"),0)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IFERROR(__xludf.DUMMYFUNCTION("IMPORTRANGE(""https://docs.google.com/spreadsheets/d/1IYY_tgx_IHuhSq3AJ5eI5OnqOPBNLWSHKh2a30DoXe8/edit?usp=sharing"",""พังงา!M452"")"),0)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IFERROR(__xludf.DUMMYFUNCTION("IMPORTRANGE(""https://docs.google.com/spreadsheets/d/1IYY_tgx_IHuhSq3AJ5eI5OnqOPBNLWSHKh2a30DoXe8/edit?usp=sharing"",""พังงา!M453"")"),0)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IFERROR(__xludf.DUMMYFUNCTION("IMPORTRANGE(""https://docs.google.com/spreadsheets/d/1IYY_tgx_IHuhSq3AJ5eI5OnqOPBNLWSHKh2a30DoXe8/edit?usp=sharing"",""พังงา!M454"")"),0)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IFERROR(__xludf.DUMMYFUNCTION("IMPORTRANGE(""https://docs.google.com/spreadsheets/d/1IYY_tgx_IHuhSq3AJ5eI5OnqOPBNLWSHKh2a30DoXe8/edit?usp=sharing"",""พังงา!I455"")"),0)</f>
        <v>0</v>
      </c>
      <c r="J560" s="166">
        <f ca="1">IFERROR(__xludf.DUMMYFUNCTION("IMPORTRANGE(""https://docs.google.com/spreadsheets/d/1IYY_tgx_IHuhSq3AJ5eI5OnqOPBNLWSHKh2a30DoXe8/edit?usp=sharing"",""พังงา!J455"")"),0)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IFERROR(__xludf.DUMMYFUNCTION("IMPORTRANGE(""https://docs.google.com/spreadsheets/d/1IYY_tgx_IHuhSq3AJ5eI5OnqOPBNLWSHKh2a30DoXe8/edit?usp=sharing"",""พังงา!I456"")"),0)</f>
        <v>0</v>
      </c>
      <c r="J561" s="210">
        <f ca="1">IFERROR(__xludf.DUMMYFUNCTION("IMPORTRANGE(""https://docs.google.com/spreadsheets/d/1IYY_tgx_IHuhSq3AJ5eI5OnqOPBNLWSHKh2a30DoXe8/edit?usp=sharing"",""พังงา!J456"")"),0)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IFERROR(__xludf.DUMMYFUNCTION("IMPORTRANGE(""https://docs.google.com/spreadsheets/d/1IYY_tgx_IHuhSq3AJ5eI5OnqOPBNLWSHKh2a30DoXe8/edit?usp=sharing"",""พังงา!J459"")"),948)</f>
        <v>948</v>
      </c>
      <c r="K564" s="378">
        <f ca="1">IF(I564&gt;0,J564*100/I564,0)</f>
        <v>237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IFERROR(__xludf.DUMMYFUNCTION("IMPORTRANGE(""https://docs.google.com/spreadsheets/d/1IYY_tgx_IHuhSq3AJ5eI5OnqOPBNLWSHKh2a30DoXe8/edit?usp=sharing"",""พังงา!M459"")"),79034)</f>
        <v>79034</v>
      </c>
      <c r="O564" s="379">
        <f t="shared" ref="O564:O568" ca="1" si="122">+IF(L564&gt;0,N564*100/L564,0)</f>
        <v>62.290353089533419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IFERROR(__xludf.DUMMYFUNCTION("IMPORTRANGE(""https://docs.google.com/spreadsheets/d/1IYY_tgx_IHuhSq3AJ5eI5OnqOPBNLWSHKh2a30DoXe8/edit?usp=sharing"",""พังงา!L460"")"),0)</f>
        <v>0</v>
      </c>
      <c r="M565" s="168"/>
      <c r="N565" s="175">
        <f ca="1">IFERROR(__xludf.DUMMYFUNCTION("IMPORTRANGE(""https://docs.google.com/spreadsheets/d/1IYY_tgx_IHuhSq3AJ5eI5OnqOPBNLWSHKh2a30DoXe8/edit?usp=sharing"",""พังงา!M460"")"),0)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5">
        <f ca="1">IFERROR(__xludf.DUMMYFUNCTION("IMPORTRANGE(""https://docs.google.com/spreadsheets/d/1IYY_tgx_IHuhSq3AJ5eI5OnqOPBNLWSHKh2a30DoXe8/edit?usp=sharing"",""พังงา!M461"")"),79034)</f>
        <v>79034</v>
      </c>
      <c r="O566" s="175">
        <f t="shared" ca="1" si="122"/>
        <v>62.290353089533419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IFERROR(__xludf.DUMMYFUNCTION("IMPORTRANGE(""https://docs.google.com/spreadsheets/d/1IYY_tgx_IHuhSq3AJ5eI5OnqOPBNLWSHKh2a30DoXe8/edit?usp=sharing"",""พังงา!L462"")"),0)</f>
        <v>0</v>
      </c>
      <c r="M567" s="175"/>
      <c r="N567" s="175">
        <f ca="1">IFERROR(__xludf.DUMMYFUNCTION("IMPORTRANGE(""https://docs.google.com/spreadsheets/d/1IYY_tgx_IHuhSq3AJ5eI5OnqOPBNLWSHKh2a30DoXe8/edit?usp=sharing"",""พังงา!M462"")"),0)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IFERROR(__xludf.DUMMYFUNCTION("IMPORTRANGE(""https://docs.google.com/spreadsheets/d/1IYY_tgx_IHuhSq3AJ5eI5OnqOPBNLWSHKh2a30DoXe8/edit?usp=sharing"",""พังงา!L463"")"),126880)</f>
        <v>126880</v>
      </c>
      <c r="M568" s="175"/>
      <c r="N568" s="175">
        <f ca="1">IFERROR(__xludf.DUMMYFUNCTION("IMPORTRANGE(""https://docs.google.com/spreadsheets/d/1IYY_tgx_IHuhSq3AJ5eI5OnqOPBNLWSHKh2a30DoXe8/edit?usp=sharing"",""พังงา!M463"")"),79034)</f>
        <v>79034</v>
      </c>
      <c r="O568" s="175">
        <f t="shared" ca="1" si="122"/>
        <v>62.290353089533419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IFERROR(__xludf.DUMMYFUNCTION("IMPORTRANGE(""https://docs.google.com/spreadsheets/d/1IYY_tgx_IHuhSq3AJ5eI5OnqOPBNLWSHKh2a30DoXe8/edit?usp=sharing"",""พังงา!M464"")"),0)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IFERROR(__xludf.DUMMYFUNCTION("IMPORTRANGE(""https://docs.google.com/spreadsheets/d/1IYY_tgx_IHuhSq3AJ5eI5OnqOPBNLWSHKh2a30DoXe8/edit?usp=sharing"",""พังงา!M465"")"),0)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IFERROR(__xludf.DUMMYFUNCTION("IMPORTRANGE(""https://docs.google.com/spreadsheets/d/1IYY_tgx_IHuhSq3AJ5eI5OnqOPBNLWSHKh2a30DoXe8/edit?usp=sharing"",""พังงา!M466"")"),76634)</f>
        <v>76634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IFERROR(__xludf.DUMMYFUNCTION("IMPORTRANGE(""https://docs.google.com/spreadsheets/d/1IYY_tgx_IHuhSq3AJ5eI5OnqOPBNLWSHKh2a30DoXe8/edit?usp=sharing"",""พังงา!M467"")"),2400)</f>
        <v>2400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IFERROR(__xludf.DUMMYFUNCTION("IMPORTRANGE(""https://docs.google.com/spreadsheets/d/1IYY_tgx_IHuhSq3AJ5eI5OnqOPBNLWSHKh2a30DoXe8/edit?usp=sharing"",""พังงา!J468"")"),948)</f>
        <v>948</v>
      </c>
      <c r="K573" s="208">
        <f ca="1">IF(I573&gt;0,J573*100/I573,0)</f>
        <v>237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IFERROR(__xludf.DUMMYFUNCTION("IMPORTRANGE(""https://docs.google.com/spreadsheets/d/1IYY_tgx_IHuhSq3AJ5eI5OnqOPBNLWSHKh2a30DoXe8/edit?usp=sharing"",""พังงา!I470"")"),0)</f>
        <v>0</v>
      </c>
      <c r="J575" s="204">
        <f ca="1">IFERROR(__xludf.DUMMYFUNCTION("IMPORTRANGE(""https://docs.google.com/spreadsheets/d/1IYY_tgx_IHuhSq3AJ5eI5OnqOPBNLWSHKh2a30DoXe8/edit?usp=sharing"",""พังงา!J470"")"),5)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IFERROR(__xludf.DUMMYFUNCTION("IMPORTRANGE(""https://docs.google.com/spreadsheets/d/1IYY_tgx_IHuhSq3AJ5eI5OnqOPBNLWSHKh2a30DoXe8/edit?usp=sharing"",""พังงา!I471"")"),0)</f>
        <v>0</v>
      </c>
      <c r="J576" s="204">
        <f ca="1">IFERROR(__xludf.DUMMYFUNCTION("IMPORTRANGE(""https://docs.google.com/spreadsheets/d/1IYY_tgx_IHuhSq3AJ5eI5OnqOPBNLWSHKh2a30DoXe8/edit?usp=sharing"",""พังงา!J471"")"),166)</f>
        <v>166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IFERROR(__xludf.DUMMYFUNCTION("IMPORTRANGE(""https://docs.google.com/spreadsheets/d/1IYY_tgx_IHuhSq3AJ5eI5OnqOPBNLWSHKh2a30DoXe8/edit?usp=sharing"",""พังงา!I472"")"),0)</f>
        <v>0</v>
      </c>
      <c r="J577" s="195">
        <f ca="1">IFERROR(__xludf.DUMMYFUNCTION("IMPORTRANGE(""https://docs.google.com/spreadsheets/d/1IYY_tgx_IHuhSq3AJ5eI5OnqOPBNLWSHKh2a30DoXe8/edit?usp=sharing"",""พังงา!J472"")"),782)</f>
        <v>782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IFERROR(__xludf.DUMMYFUNCTION("IMPORTRANGE(""https://docs.google.com/spreadsheets/d/1IYY_tgx_IHuhSq3AJ5eI5OnqOPBNLWSHKh2a30DoXe8/edit?usp=sharing"",""พังงา!I473"")"),0)</f>
        <v>0</v>
      </c>
      <c r="J578" s="204">
        <f ca="1">IFERROR(__xludf.DUMMYFUNCTION("IMPORTRANGE(""https://docs.google.com/spreadsheets/d/1IYY_tgx_IHuhSq3AJ5eI5OnqOPBNLWSHKh2a30DoXe8/edit?usp=sharing"",""พังงา!J473"")"),0)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IFERROR(__xludf.DUMMYFUNCTION("IMPORTRANGE(""https://docs.google.com/spreadsheets/d/1IYY_tgx_IHuhSq3AJ5eI5OnqOPBNLWSHKh2a30DoXe8/edit?usp=sharing"",""พังงา!I474"")"),0)</f>
        <v>0</v>
      </c>
      <c r="J579" s="204">
        <f ca="1">IFERROR(__xludf.DUMMYFUNCTION("IMPORTRANGE(""https://docs.google.com/spreadsheets/d/1IYY_tgx_IHuhSq3AJ5eI5OnqOPBNLWSHKh2a30DoXe8/edit?usp=sharing"",""พังงา!J474"")"),0)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IFERROR(__xludf.DUMMYFUNCTION("IMPORTRANGE(""https://docs.google.com/spreadsheets/d/1IYY_tgx_IHuhSq3AJ5eI5OnqOPBNLWSHKh2a30DoXe8/edit?usp=sharing"",""พังงา!L476"")"),0)</f>
        <v>0</v>
      </c>
      <c r="M581" s="168"/>
      <c r="N581" s="175">
        <f ca="1">IFERROR(__xludf.DUMMYFUNCTION("IMPORTRANGE(""https://docs.google.com/spreadsheets/d/1IYY_tgx_IHuhSq3AJ5eI5OnqOPBNLWSHKh2a30DoXe8/edit?usp=sharing"",""พังงา!M476"")"),0)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5">
        <f ca="1">IFERROR(__xludf.DUMMYFUNCTION("IMPORTRANGE(""https://docs.google.com/spreadsheets/d/1IYY_tgx_IHuhSq3AJ5eI5OnqOPBNLWSHKh2a30DoXe8/edit?usp=sharing"",""พังงา!M477"")"),0)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IFERROR(__xludf.DUMMYFUNCTION("IMPORTRANGE(""https://docs.google.com/spreadsheets/d/1IYY_tgx_IHuhSq3AJ5eI5OnqOPBNLWSHKh2a30DoXe8/edit?usp=sharing"",""พังงา!L478"")"),0)</f>
        <v>0</v>
      </c>
      <c r="M583" s="175"/>
      <c r="N583" s="175">
        <f ca="1">IFERROR(__xludf.DUMMYFUNCTION("IMPORTRANGE(""https://docs.google.com/spreadsheets/d/1IYY_tgx_IHuhSq3AJ5eI5OnqOPBNLWSHKh2a30DoXe8/edit?usp=sharing"",""พังงา!M478"")"),0)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IFERROR(__xludf.DUMMYFUNCTION("IMPORTRANGE(""https://docs.google.com/spreadsheets/d/1IYY_tgx_IHuhSq3AJ5eI5OnqOPBNLWSHKh2a30DoXe8/edit?usp=sharing"",""พังงา!L479"")"),0)</f>
        <v>0</v>
      </c>
      <c r="M584" s="175"/>
      <c r="N584" s="175">
        <f ca="1">IFERROR(__xludf.DUMMYFUNCTION("IMPORTRANGE(""https://docs.google.com/spreadsheets/d/1IYY_tgx_IHuhSq3AJ5eI5OnqOPBNLWSHKh2a30DoXe8/edit?usp=sharing"",""พังงา!M479"")"),0)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IFERROR(__xludf.DUMMYFUNCTION("IMPORTRANGE(""https://docs.google.com/spreadsheets/d/1IYY_tgx_IHuhSq3AJ5eI5OnqOPBNLWSHKh2a30DoXe8/edit?usp=sharing"",""พังงา!M480"")"),0)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IFERROR(__xludf.DUMMYFUNCTION("IMPORTRANGE(""https://docs.google.com/spreadsheets/d/1IYY_tgx_IHuhSq3AJ5eI5OnqOPBNLWSHKh2a30DoXe8/edit?usp=sharing"",""พังงา!M481"")"),0)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IFERROR(__xludf.DUMMYFUNCTION("IMPORTRANGE(""https://docs.google.com/spreadsheets/d/1IYY_tgx_IHuhSq3AJ5eI5OnqOPBNLWSHKh2a30DoXe8/edit?usp=sharing"",""พังงา!M482"")"),0)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IFERROR(__xludf.DUMMYFUNCTION("IMPORTRANGE(""https://docs.google.com/spreadsheets/d/1IYY_tgx_IHuhSq3AJ5eI5OnqOPBNLWSHKh2a30DoXe8/edit?usp=sharing"",""พังงา!M483"")"),0)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4">
        <f ca="1">IFERROR(__xludf.DUMMYFUNCTION("IMPORTRANGE(""https://docs.google.com/spreadsheets/d/1IYY_tgx_IHuhSq3AJ5eI5OnqOPBNLWSHKh2a30DoXe8/edit?usp=sharing"",""พังงา!J484"")"),0)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4">
        <f ca="1">IFERROR(__xludf.DUMMYFUNCTION("IMPORTRANGE(""https://docs.google.com/spreadsheets/d/1IYY_tgx_IHuhSq3AJ5eI5OnqOPBNLWSHKh2a30DoXe8/edit?usp=sharing"",""พังงา!J485"")"),0)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4">
        <f ca="1">IFERROR(__xludf.DUMMYFUNCTION("IMPORTRANGE(""https://docs.google.com/spreadsheets/d/1IYY_tgx_IHuhSq3AJ5eI5OnqOPBNLWSHKh2a30DoXe8/edit?usp=sharing"",""พังงา!J486"")"),0)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4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4">
        <f ca="1">IFERROR(__xludf.DUMMYFUNCTION("IMPORTRANGE(""https://docs.google.com/spreadsheets/d/1IYY_tgx_IHuhSq3AJ5eI5OnqOPBNLWSHKh2a30DoXe8/edit?usp=sharing"",""พังงา!J488"")"),0)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4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4">
        <f ca="1">IFERROR(__xludf.DUMMYFUNCTION("IMPORTRANGE(""https://docs.google.com/spreadsheets/d/1IYY_tgx_IHuhSq3AJ5eI5OnqOPBNLWSHKh2a30DoXe8/edit?usp=sharing"",""พังงา!J490"")"),0)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IFERROR(__xludf.DUMMYFUNCTION("IMPORTRANGE(""https://docs.google.com/spreadsheets/d/1IYY_tgx_IHuhSq3AJ5eI5OnqOPBNLWSHKh2a30DoXe8/edit?usp=sharing"",""พังงา!I491"")"),0)</f>
        <v>0</v>
      </c>
      <c r="J596" s="247">
        <f ca="1">IFERROR(__xludf.DUMMYFUNCTION("IMPORTRANGE(""https://docs.google.com/spreadsheets/d/1IYY_tgx_IHuhSq3AJ5eI5OnqOPBNLWSHKh2a30DoXe8/edit?usp=sharing"",""พังงา!J491"")"),0)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4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IFERROR(__xludf.DUMMYFUNCTION("IMPORTRANGE(""https://docs.google.com/spreadsheets/d/1IYY_tgx_IHuhSq3AJ5eI5OnqOPBNLWSHKh2a30DoXe8/edit?usp=sharing"",""พังงา!L492"")"),5350)</f>
        <v>5350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35.887850467289717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IFERROR(__xludf.DUMMYFUNCTION("IMPORTRANGE(""https://docs.google.com/spreadsheets/d/1IYY_tgx_IHuhSq3AJ5eI5OnqOPBNLWSHKh2a30DoXe8/edit?usp=sharing"",""พังงา!L493"")"),0)</f>
        <v>0</v>
      </c>
      <c r="M598" s="168"/>
      <c r="N598" s="175">
        <f ca="1">IFERROR(__xludf.DUMMYFUNCTION("IMPORTRANGE(""https://docs.google.com/spreadsheets/d/1IYY_tgx_IHuhSq3AJ5eI5OnqOPBNLWSHKh2a30DoXe8/edit?usp=sharing"",""พังงา!M493"")"),0)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IFERROR(__xludf.DUMMYFUNCTION("IMPORTRANGE(""https://docs.google.com/spreadsheets/d/1IYY_tgx_IHuhSq3AJ5eI5OnqOPBNLWSHKh2a30DoXe8/edit?usp=sharing"",""พังงา!L494"")"),5350)</f>
        <v>5350</v>
      </c>
      <c r="M599" s="169"/>
      <c r="N599" s="175">
        <f ca="1">IFERROR(__xludf.DUMMYFUNCTION("IMPORTRANGE(""https://docs.google.com/spreadsheets/d/1IYY_tgx_IHuhSq3AJ5eI5OnqOPBNLWSHKh2a30DoXe8/edit?usp=sharing"",""พังงา!M494"")"),1920)</f>
        <v>1920</v>
      </c>
      <c r="O599" s="175">
        <f t="shared" ca="1" si="126"/>
        <v>35.887850467289717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IFERROR(__xludf.DUMMYFUNCTION("IMPORTRANGE(""https://docs.google.com/spreadsheets/d/1IYY_tgx_IHuhSq3AJ5eI5OnqOPBNLWSHKh2a30DoXe8/edit?usp=sharing"",""พังงา!L495"")"),0)</f>
        <v>0</v>
      </c>
      <c r="M600" s="175"/>
      <c r="N600" s="175">
        <f ca="1">IFERROR(__xludf.DUMMYFUNCTION("IMPORTRANGE(""https://docs.google.com/spreadsheets/d/1IYY_tgx_IHuhSq3AJ5eI5OnqOPBNLWSHKh2a30DoXe8/edit?usp=sharing"",""พังงา!M495"")"),0)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IFERROR(__xludf.DUMMYFUNCTION("IMPORTRANGE(""https://docs.google.com/spreadsheets/d/1IYY_tgx_IHuhSq3AJ5eI5OnqOPBNLWSHKh2a30DoXe8/edit?usp=sharing"",""พังงา!L496"")"),5350)</f>
        <v>5350</v>
      </c>
      <c r="M601" s="175"/>
      <c r="N601" s="175">
        <f ca="1">IFERROR(__xludf.DUMMYFUNCTION("IMPORTRANGE(""https://docs.google.com/spreadsheets/d/1IYY_tgx_IHuhSq3AJ5eI5OnqOPBNLWSHKh2a30DoXe8/edit?usp=sharing"",""พังงา!M496"")"),1920)</f>
        <v>1920</v>
      </c>
      <c r="O601" s="175">
        <f t="shared" ca="1" si="126"/>
        <v>35.887850467289717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IFERROR(__xludf.DUMMYFUNCTION("IMPORTRANGE(""https://docs.google.com/spreadsheets/d/1IYY_tgx_IHuhSq3AJ5eI5OnqOPBNLWSHKh2a30DoXe8/edit?usp=sharing"",""พังงา!M497"")"),0)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IFERROR(__xludf.DUMMYFUNCTION("IMPORTRANGE(""https://docs.google.com/spreadsheets/d/1IYY_tgx_IHuhSq3AJ5eI5OnqOPBNLWSHKh2a30DoXe8/edit?usp=sharing"",""พังงา!M498"")"),0)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IFERROR(__xludf.DUMMYFUNCTION("IMPORTRANGE(""https://docs.google.com/spreadsheets/d/1IYY_tgx_IHuhSq3AJ5eI5OnqOPBNLWSHKh2a30DoXe8/edit?usp=sharing"",""พังงา!J502"")"),0)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IFERROR(__xludf.DUMMYFUNCTION("IMPORTRANGE(""https://docs.google.com/spreadsheets/d/1IYY_tgx_IHuhSq3AJ5eI5OnqOPBNLWSHKh2a30DoXe8/edit?usp=sharing"",""พังงา!J503"")"),1)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IFERROR(__xludf.DUMMYFUNCTION("IMPORTRANGE(""https://docs.google.com/spreadsheets/d/1IYY_tgx_IHuhSq3AJ5eI5OnqOPBNLWSHKh2a30DoXe8/edit?usp=sharing"",""พังงา!J166"")"),0)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IFERROR(__xludf.DUMMYFUNCTION("IMPORTRANGE(""https://docs.google.com/spreadsheets/d/1IYY_tgx_IHuhSq3AJ5eI5OnqOPBNLWSHKh2a30DoXe8/edit?usp=sharing"",""พังงา!J166"")"),0)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IFERROR(__xludf.DUMMYFUNCTION("IMPORTRANGE(""https://docs.google.com/spreadsheets/d/1IYY_tgx_IHuhSq3AJ5eI5OnqOPBNLWSHKh2a30DoXe8/edit?usp=sharing"",""พังงา!I506"")"),50)</f>
        <v>50</v>
      </c>
      <c r="J611" s="166">
        <f ca="1">IFERROR(__xludf.DUMMYFUNCTION("IMPORTRANGE(""https://docs.google.com/spreadsheets/d/1IYY_tgx_IHuhSq3AJ5eI5OnqOPBNLWSHKh2a30DoXe8/edit?usp=sharing"",""พังงา!J506"")"),0)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IFERROR(__xludf.DUMMYFUNCTION("IMPORTRANGE(""https://docs.google.com/spreadsheets/d/1IYY_tgx_IHuhSq3AJ5eI5OnqOPBNLWSHKh2a30DoXe8/edit?usp=sharing"",""พังงา!I507"")"),0)</f>
        <v>0</v>
      </c>
      <c r="J612" s="204">
        <f ca="1">IFERROR(__xludf.DUMMYFUNCTION("IMPORTRANGE(""https://docs.google.com/spreadsheets/d/1IYY_tgx_IHuhSq3AJ5eI5OnqOPBNLWSHKh2a30DoXe8/edit?usp=sharing"",""พังงา!J507"")"),0)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IFERROR(__xludf.DUMMYFUNCTION("IMPORTRANGE(""https://docs.google.com/spreadsheets/d/1IYY_tgx_IHuhSq3AJ5eI5OnqOPBNLWSHKh2a30DoXe8/edit?usp=sharing"",""พังงา!I508"")"),0)</f>
        <v>0</v>
      </c>
      <c r="J613" s="204">
        <f ca="1">IFERROR(__xludf.DUMMYFUNCTION("IMPORTRANGE(""https://docs.google.com/spreadsheets/d/1IYY_tgx_IHuhSq3AJ5eI5OnqOPBNLWSHKh2a30DoXe8/edit?usp=sharing"",""พังงา!J508"")"),0)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IFERROR(__xludf.DUMMYFUNCTION("IMPORTRANGE(""https://docs.google.com/spreadsheets/d/1IYY_tgx_IHuhSq3AJ5eI5OnqOPBNLWSHKh2a30DoXe8/edit?usp=sharing"",""พังงา!I509"")"),0)</f>
        <v>0</v>
      </c>
      <c r="J614" s="204">
        <f ca="1">IFERROR(__xludf.DUMMYFUNCTION("IMPORTRANGE(""https://docs.google.com/spreadsheets/d/1IYY_tgx_IHuhSq3AJ5eI5OnqOPBNLWSHKh2a30DoXe8/edit?usp=sharing"",""พังงา!J509"")"),0)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IFERROR(__xludf.DUMMYFUNCTION("IMPORTRANGE(""https://docs.google.com/spreadsheets/d/1IYY_tgx_IHuhSq3AJ5eI5OnqOPBNLWSHKh2a30DoXe8/edit?usp=sharing"",""พังงา!I510"")"),0)</f>
        <v>0</v>
      </c>
      <c r="J615" s="204">
        <f ca="1">IFERROR(__xludf.DUMMYFUNCTION("IMPORTRANGE(""https://docs.google.com/spreadsheets/d/1IYY_tgx_IHuhSq3AJ5eI5OnqOPBNLWSHKh2a30DoXe8/edit?usp=sharing"",""พังงา!J510"")"),0)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IFERROR(__xludf.DUMMYFUNCTION("IMPORTRANGE(""https://docs.google.com/spreadsheets/d/1IYY_tgx_IHuhSq3AJ5eI5OnqOPBNLWSHKh2a30DoXe8/edit?usp=sharing"",""พังงา!I511"")"),0)</f>
        <v>0</v>
      </c>
      <c r="J616" s="204">
        <f ca="1">IFERROR(__xludf.DUMMYFUNCTION("IMPORTRANGE(""https://docs.google.com/spreadsheets/d/1IYY_tgx_IHuhSq3AJ5eI5OnqOPBNLWSHKh2a30DoXe8/edit?usp=sharing"",""พังงา!J511"")"),0)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IFERROR(__xludf.DUMMYFUNCTION("IMPORTRANGE(""https://docs.google.com/spreadsheets/d/1IYY_tgx_IHuhSq3AJ5eI5OnqOPBNLWSHKh2a30DoXe8/edit?usp=sharing"",""พังงา!I512"")"),0)</f>
        <v>0</v>
      </c>
      <c r="J617" s="194">
        <f ca="1">IFERROR(__xludf.DUMMYFUNCTION("IMPORTRANGE(""https://docs.google.com/spreadsheets/d/1IYY_tgx_IHuhSq3AJ5eI5OnqOPBNLWSHKh2a30DoXe8/edit?usp=sharing"",""พังงา!J512"")"),0)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IFERROR(__xludf.DUMMYFUNCTION("IMPORTRANGE(""https://docs.google.com/spreadsheets/d/1IYY_tgx_IHuhSq3AJ5eI5OnqOPBNLWSHKh2a30DoXe8/edit?usp=sharing"",""พังงา!I513"")"),0)</f>
        <v>0</v>
      </c>
      <c r="J618" s="195">
        <f ca="1">IFERROR(__xludf.DUMMYFUNCTION("IMPORTRANGE(""https://docs.google.com/spreadsheets/d/1IYY_tgx_IHuhSq3AJ5eI5OnqOPBNLWSHKh2a30DoXe8/edit?usp=sharing"",""พังงา!J513"")"),0)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IFERROR(__xludf.DUMMYFUNCTION("IMPORTRANGE(""https://docs.google.com/spreadsheets/d/1IYY_tgx_IHuhSq3AJ5eI5OnqOPBNLWSHKh2a30DoXe8/edit?usp=sharing"",""พังงา!I514"")"),0)</f>
        <v>0</v>
      </c>
      <c r="J619" s="195">
        <f ca="1">IFERROR(__xludf.DUMMYFUNCTION("IMPORTRANGE(""https://docs.google.com/spreadsheets/d/1IYY_tgx_IHuhSq3AJ5eI5OnqOPBNLWSHKh2a30DoXe8/edit?usp=sharing"",""พังงา!J514"")"),0)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IFERROR(__xludf.DUMMYFUNCTION("IMPORTRANGE(""https://docs.google.com/spreadsheets/d/1IYY_tgx_IHuhSq3AJ5eI5OnqOPBNLWSHKh2a30DoXe8/edit?usp=sharing"",""พังงา!I515"")"),0)</f>
        <v>0</v>
      </c>
      <c r="J620" s="209">
        <f ca="1">IFERROR(__xludf.DUMMYFUNCTION("IMPORTRANGE(""https://docs.google.com/spreadsheets/d/1IYY_tgx_IHuhSq3AJ5eI5OnqOPBNLWSHKh2a30DoXe8/edit?usp=sharing"",""พังงา!J515"")"),0)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IFERROR(__xludf.DUMMYFUNCTION("IMPORTRANGE(""https://docs.google.com/spreadsheets/d/1IYY_tgx_IHuhSq3AJ5eI5OnqOPBNLWSHKh2a30DoXe8/edit?usp=sharing"",""พังงา!I516"")"),0)</f>
        <v>0</v>
      </c>
      <c r="J621" s="209">
        <f ca="1">IFERROR(__xludf.DUMMYFUNCTION("IMPORTRANGE(""https://docs.google.com/spreadsheets/d/1IYY_tgx_IHuhSq3AJ5eI5OnqOPBNLWSHKh2a30DoXe8/edit?usp=sharing"",""พังงา!J516"")"),0)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IFERROR(__xludf.DUMMYFUNCTION("IMPORTRANGE(""https://docs.google.com/spreadsheets/d/1IYY_tgx_IHuhSq3AJ5eI5OnqOPBNLWSHKh2a30DoXe8/edit?usp=sharing"",""พังงา!I517"")"),0)</f>
        <v>0</v>
      </c>
      <c r="J622" s="195">
        <f ca="1">IFERROR(__xludf.DUMMYFUNCTION("IMPORTRANGE(""https://docs.google.com/spreadsheets/d/1IYY_tgx_IHuhSq3AJ5eI5OnqOPBNLWSHKh2a30DoXe8/edit?usp=sharing"",""พังงา!J517"")"),0)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IFERROR(__xludf.DUMMYFUNCTION("IMPORTRANGE(""https://docs.google.com/spreadsheets/d/1IYY_tgx_IHuhSq3AJ5eI5OnqOPBNLWSHKh2a30DoXe8/edit?usp=sharing"",""พังงา!I518"")"),0)</f>
        <v>0</v>
      </c>
      <c r="J623" s="195">
        <f ca="1">IFERROR(__xludf.DUMMYFUNCTION("IMPORTRANGE(""https://docs.google.com/spreadsheets/d/1IYY_tgx_IHuhSq3AJ5eI5OnqOPBNLWSHKh2a30DoXe8/edit?usp=sharing"",""พังงา!J518"")"),0)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IFERROR(__xludf.DUMMYFUNCTION("IMPORTRANGE(""https://docs.google.com/spreadsheets/d/1IYY_tgx_IHuhSq3AJ5eI5OnqOPBNLWSHKh2a30DoXe8/edit?usp=sharing"",""พังงา!I519"")"),0)</f>
        <v>0</v>
      </c>
      <c r="J624" s="194">
        <f ca="1">IFERROR(__xludf.DUMMYFUNCTION("IMPORTRANGE(""https://docs.google.com/spreadsheets/d/1IYY_tgx_IHuhSq3AJ5eI5OnqOPBNLWSHKh2a30DoXe8/edit?usp=sharing"",""พังงา!J519"")"),0)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IFERROR(__xludf.DUMMYFUNCTION("IMPORTRANGE(""https://docs.google.com/spreadsheets/d/1IYY_tgx_IHuhSq3AJ5eI5OnqOPBNLWSHKh2a30DoXe8/edit?usp=sharing"",""พังงา!I520"")"),0)</f>
        <v>0</v>
      </c>
      <c r="J625" s="195">
        <f ca="1">IFERROR(__xludf.DUMMYFUNCTION("IMPORTRANGE(""https://docs.google.com/spreadsheets/d/1IYY_tgx_IHuhSq3AJ5eI5OnqOPBNLWSHKh2a30DoXe8/edit?usp=sharing"",""พังงา!J520"")"),0)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IFERROR(__xludf.DUMMYFUNCTION("IMPORTRANGE(""https://docs.google.com/spreadsheets/d/1IYY_tgx_IHuhSq3AJ5eI5OnqOPBNLWSHKh2a30DoXe8/edit?usp=sharing"",""พังงา!I521"")"),0)</f>
        <v>0</v>
      </c>
      <c r="J626" s="195">
        <f ca="1">IFERROR(__xludf.DUMMYFUNCTION("IMPORTRANGE(""https://docs.google.com/spreadsheets/d/1IYY_tgx_IHuhSq3AJ5eI5OnqOPBNLWSHKh2a30DoXe8/edit?usp=sharing"",""พังงา!J521"")"),0)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IFERROR(__xludf.DUMMYFUNCTION("IMPORTRANGE(""https://docs.google.com/spreadsheets/d/1IYY_tgx_IHuhSq3AJ5eI5OnqOPBNLWSHKh2a30DoXe8/edit?usp=sharing"",""พังงา!J523"")"),1191213.43)</f>
        <v>1191213.43</v>
      </c>
      <c r="K628" s="348">
        <f t="shared" ref="K628:K635" ca="1" si="129">IF(I628&gt;0,J628*100/I628,0)</f>
        <v>99.162920218844235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IFERROR(__xludf.DUMMYFUNCTION("IMPORTRANGE(""https://docs.google.com/spreadsheets/d/1IYY_tgx_IHuhSq3AJ5eI5OnqOPBNLWSHKh2a30DoXe8/edit?usp=sharing"",""พังงา!J524"")"),90)</f>
        <v>90</v>
      </c>
      <c r="K629" s="348">
        <f t="shared" ca="1" si="129"/>
        <v>98.901098901098905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IFERROR(__xludf.DUMMYFUNCTION("IMPORTRANGE(""https://docs.google.com/spreadsheets/d/1IYY_tgx_IHuhSq3AJ5eI5OnqOPBNLWSHKh2a30DoXe8/edit?usp=sharing"",""พังงา!J525"")"),118096.66)</f>
        <v>118096.66</v>
      </c>
      <c r="K630" s="348">
        <f t="shared" ca="1" si="129"/>
        <v>32.496965465315355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IFERROR(__xludf.DUMMYFUNCTION("IMPORTRANGE(""https://docs.google.com/spreadsheets/d/1IYY_tgx_IHuhSq3AJ5eI5OnqOPBNLWSHKh2a30DoXe8/edit?usp=sharing"",""พังงา!J526"")"),15)</f>
        <v>15</v>
      </c>
      <c r="K631" s="348">
        <f t="shared" ca="1" si="129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IFERROR(__xludf.DUMMYFUNCTION("IMPORTRANGE(""https://docs.google.com/spreadsheets/d/1IYY_tgx_IHuhSq3AJ5eI5OnqOPBNLWSHKh2a30DoXe8/edit?usp=sharing"",""พังงา!J527"")"),11797.58)</f>
        <v>11797.58</v>
      </c>
      <c r="K632" s="348">
        <f t="shared" ca="1" si="129"/>
        <v>65.569941908676796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IFERROR(__xludf.DUMMYFUNCTION("IMPORTRANGE(""https://docs.google.com/spreadsheets/d/1IYY_tgx_IHuhSq3AJ5eI5OnqOPBNLWSHKh2a30DoXe8/edit?usp=sharing"",""พังงา!J528"")"),38)</f>
        <v>38</v>
      </c>
      <c r="K633" s="348">
        <f t="shared" ca="1" si="129"/>
        <v>77.551020408163268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IFERROR(__xludf.DUMMYFUNCTION("IMPORTRANGE(""https://docs.google.com/spreadsheets/d/1IYY_tgx_IHuhSq3AJ5eI5OnqOPBNLWSHKh2a30DoXe8/edit?usp=sharing"",""พังงา!I529"")"),760000)</f>
        <v>760000</v>
      </c>
      <c r="J634" s="347">
        <f ca="1">IFERROR(__xludf.DUMMYFUNCTION("IMPORTRANGE(""https://docs.google.com/spreadsheets/d/1IYY_tgx_IHuhSq3AJ5eI5OnqOPBNLWSHKh2a30DoXe8/edit?usp=sharing"",""พังงา!J529"")"),600000)</f>
        <v>600000</v>
      </c>
      <c r="K634" s="348">
        <f t="shared" ca="1" si="129"/>
        <v>78.94736842105263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IFERROR(__xludf.DUMMYFUNCTION("IMPORTRANGE(""https://docs.google.com/spreadsheets/d/1IYY_tgx_IHuhSq3AJ5eI5OnqOPBNLWSHKh2a30DoXe8/edit?usp=sharing"",""พังงา!I530"")"),19)</f>
        <v>19</v>
      </c>
      <c r="J635" s="518">
        <f ca="1">IFERROR(__xludf.DUMMYFUNCTION("IMPORTRANGE(""https://docs.google.com/spreadsheets/d/1IYY_tgx_IHuhSq3AJ5eI5OnqOPBNLWSHKh2a30DoXe8/edit?usp=sharing"",""พังงา!J530"")"),15)</f>
        <v>15</v>
      </c>
      <c r="K635" s="493">
        <f t="shared" ca="1" si="129"/>
        <v>78.94736842105263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250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250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250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IFERROR(__xludf.DUMMYFUNCTION("IMPORTRANGE(""https://docs.google.com/spreadsheets/d/1IYY_tgx_IHuhSq3AJ5eI5OnqOPBNLWSHKh2a30DoXe8/edit?usp=sharing"",""พังงา!J541"")"),0)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IFERROR(__xludf.DUMMYFUNCTION("IMPORTRANGE(""https://docs.google.com/spreadsheets/d/1IYY_tgx_IHuhSq3AJ5eI5OnqOPBNLWSHKh2a30DoXe8/edit?usp=sharing"",""พังงา!J542"")"),0)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IFERROR(__xludf.DUMMYFUNCTION("IMPORTRANGE(""https://docs.google.com/spreadsheets/d/1IYY_tgx_IHuhSq3AJ5eI5OnqOPBNLWSHKh2a30DoXe8/edit?usp=sharing"",""พังงา!I543"")"),0)</f>
        <v>0</v>
      </c>
      <c r="J648" s="547">
        <f ca="1">IFERROR(__xludf.DUMMYFUNCTION("IMPORTRANGE(""https://docs.google.com/spreadsheets/d/1IYY_tgx_IHuhSq3AJ5eI5OnqOPBNLWSHKh2a30DoXe8/edit?usp=sharing"",""พังงา!J543"")"),0)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IFERROR(__xludf.DUMMYFUNCTION("IMPORTRANGE(""https://docs.google.com/spreadsheets/d/1IYY_tgx_IHuhSq3AJ5eI5OnqOPBNLWSHKh2a30DoXe8/edit?usp=sharing"",""พังงา!L543"")"),0)</f>
        <v>0</v>
      </c>
      <c r="M648" s="534"/>
      <c r="N648" s="549">
        <f ca="1">IFERROR(__xludf.DUMMYFUNCTION("IMPORTRANGE(""https://docs.google.com/spreadsheets/d/1IYY_tgx_IHuhSq3AJ5eI5OnqOPBNLWSHKh2a30DoXe8/edit?usp=sharing"",""พังงา!M543"")"),0)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IFERROR(__xludf.DUMMYFUNCTION("IMPORTRANGE(""https://docs.google.com/spreadsheets/d/1IYY_tgx_IHuhSq3AJ5eI5OnqOPBNLWSHKh2a30DoXe8/edit?usp=sharing"",""พังงา!I544"")"),0)</f>
        <v>0</v>
      </c>
      <c r="J649" s="547">
        <f ca="1">IFERROR(__xludf.DUMMYFUNCTION("IMPORTRANGE(""https://docs.google.com/spreadsheets/d/1IYY_tgx_IHuhSq3AJ5eI5OnqOPBNLWSHKh2a30DoXe8/edit?usp=sharing"",""พังงา!J544"")"),0)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IFERROR(__xludf.DUMMYFUNCTION("IMPORTRANGE(""https://docs.google.com/spreadsheets/d/1IYY_tgx_IHuhSq3AJ5eI5OnqOPBNLWSHKh2a30DoXe8/edit?usp=sharing"",""พังงา!L544"")"),0)</f>
        <v>0</v>
      </c>
      <c r="M649" s="534"/>
      <c r="N649" s="549">
        <f ca="1">IFERROR(__xludf.DUMMYFUNCTION("IMPORTRANGE(""https://docs.google.com/spreadsheets/d/1IYY_tgx_IHuhSq3AJ5eI5OnqOPBNLWSHKh2a30DoXe8/edit?usp=sharing"",""พังงา!M544"")"),0)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IFERROR(__xludf.DUMMYFUNCTION("IMPORTRANGE(""https://docs.google.com/spreadsheets/d/1IYY_tgx_IHuhSq3AJ5eI5OnqOPBNLWSHKh2a30DoXe8/edit?usp=sharing"",""พังงา!I545"")"),50)</f>
        <v>50</v>
      </c>
      <c r="J650" s="547">
        <f ca="1">IFERROR(__xludf.DUMMYFUNCTION("IMPORTRANGE(""https://docs.google.com/spreadsheets/d/1IYY_tgx_IHuhSq3AJ5eI5OnqOPBNLWSHKh2a30DoXe8/edit?usp=sharing"",""พังงา!J545"")"),0)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IFERROR(__xludf.DUMMYFUNCTION("IMPORTRANGE(""https://docs.google.com/spreadsheets/d/1IYY_tgx_IHuhSq3AJ5eI5OnqOPBNLWSHKh2a30DoXe8/edit?usp=sharing"",""พังงา!L545"")"),250)</f>
        <v>250</v>
      </c>
      <c r="M650" s="534"/>
      <c r="N650" s="549">
        <f ca="1">IFERROR(__xludf.DUMMYFUNCTION("IMPORTRANGE(""https://docs.google.com/spreadsheets/d/1IYY_tgx_IHuhSq3AJ5eI5OnqOPBNLWSHKh2a30DoXe8/edit?usp=sharing"",""พังงา!M545"")"),0)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IFERROR(__xludf.DUMMYFUNCTION("IMPORTRANGE(""https://docs.google.com/spreadsheets/d/1IYY_tgx_IHuhSq3AJ5eI5OnqOPBNLWSHKh2a30DoXe8/edit?usp=sharing"",""พังงา!I546"")"),0)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IFERROR(__xludf.DUMMYFUNCTION("IMPORTRANGE(""https://docs.google.com/spreadsheets/d/1IYY_tgx_IHuhSq3AJ5eI5OnqOPBNLWSHKh2a30DoXe8/edit?usp=sharing"",""พังงา!L546"")"),0)</f>
        <v>0</v>
      </c>
      <c r="M651" s="534"/>
      <c r="N651" s="549">
        <f ca="1">IFERROR(__xludf.DUMMYFUNCTION("IMPORTRANGE(""https://docs.google.com/spreadsheets/d/1IYY_tgx_IHuhSq3AJ5eI5OnqOPBNLWSHKh2a30DoXe8/edit?usp=sharing"",""พังงา!M546"")"),0)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IFERROR(__xludf.DUMMYFUNCTION("IMPORTRANGE(""https://docs.google.com/spreadsheets/d/1IYY_tgx_IHuhSq3AJ5eI5OnqOPBNLWSHKh2a30DoXe8/edit?usp=sharing"",""พังงา!J547"")"),0)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IFERROR(__xludf.DUMMYFUNCTION("IMPORTRANGE(""https://docs.google.com/spreadsheets/d/1IYY_tgx_IHuhSq3AJ5eI5OnqOPBNLWSHKh2a30DoXe8/edit?usp=sharing"",""พังงา!J548"")"),0)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IFERROR(__xludf.DUMMYFUNCTION("IMPORTRANGE(""https://docs.google.com/spreadsheets/d/1IYY_tgx_IHuhSq3AJ5eI5OnqOPBNLWSHKh2a30DoXe8/edit?usp=sharing"",""พังงา!J550"")"),0)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IFERROR(__xludf.DUMMYFUNCTION("IMPORTRANGE(""https://docs.google.com/spreadsheets/d/1IYY_tgx_IHuhSq3AJ5eI5OnqOPBNLWSHKh2a30DoXe8/edit?usp=sharing"",""พังงา!J551"")"),0)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IFERROR(__xludf.DUMMYFUNCTION("IMPORTRANGE(""https://docs.google.com/spreadsheets/d/1IYY_tgx_IHuhSq3AJ5eI5OnqOPBNLWSHKh2a30DoXe8/edit?usp=sharing"",""พังงา!J552"")"),0)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IFERROR(__xludf.DUMMYFUNCTION("IMPORTRANGE(""https://docs.google.com/spreadsheets/d/1IYY_tgx_IHuhSq3AJ5eI5OnqOPBNLWSHKh2a30DoXe8/edit?usp=sharing"",""พังงา!J553"")"),0)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IFERROR(__xludf.DUMMYFUNCTION("IMPORTRANGE(""https://docs.google.com/spreadsheets/d/1IYY_tgx_IHuhSq3AJ5eI5OnqOPBNLWSHKh2a30DoXe8/edit?usp=sharing"",""พังงา!J554"")"),0)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IFERROR(__xludf.DUMMYFUNCTION("IMPORTRANGE(""https://docs.google.com/spreadsheets/d/1IYY_tgx_IHuhSq3AJ5eI5OnqOPBNLWSHKh2a30DoXe8/edit?usp=sharing"",""พังงา!J555"")"),0)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IFERROR(__xludf.DUMMYFUNCTION("IMPORTRANGE(""https://docs.google.com/spreadsheets/d/1IYY_tgx_IHuhSq3AJ5eI5OnqOPBNLWSHKh2a30DoXe8/edit?usp=sharing"",""พังงา!J556"")"),0)</f>
        <v>0</v>
      </c>
      <c r="K661" s="548"/>
      <c r="L661" s="535">
        <f ca="1">IFERROR(__xludf.DUMMYFUNCTION("IMPORTRANGE(""https://docs.google.com/spreadsheets/d/1IYY_tgx_IHuhSq3AJ5eI5OnqOPBNLWSHKh2a30DoXe8/edit?usp=sharing"",""พังงา!L556"")"),0)</f>
        <v>0</v>
      </c>
      <c r="M661" s="534"/>
      <c r="N661" s="549">
        <f ca="1">IFERROR(__xludf.DUMMYFUNCTION("IMPORTRANGE(""https://docs.google.com/spreadsheets/d/1IYY_tgx_IHuhSq3AJ5eI5OnqOPBNLWSHKh2a30DoXe8/edit?usp=sharing"",""พังงา!M556"")"),0)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IFERROR(__xludf.DUMMYFUNCTION("IMPORTRANGE(""https://docs.google.com/spreadsheets/d/1IYY_tgx_IHuhSq3AJ5eI5OnqOPBNLWSHKh2a30DoXe8/edit?usp=sharing"",""พังงา!J557"")"),0)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IFERROR(__xludf.DUMMYFUNCTION("IMPORTRANGE(""https://docs.google.com/spreadsheets/d/1IYY_tgx_IHuhSq3AJ5eI5OnqOPBNLWSHKh2a30DoXe8/edit?usp=sharing"",""พังงา!I558"")"),0)</f>
        <v>0</v>
      </c>
      <c r="J663" s="547">
        <f ca="1">IFERROR(__xludf.DUMMYFUNCTION("IMPORTRANGE(""https://docs.google.com/spreadsheets/d/1IYY_tgx_IHuhSq3AJ5eI5OnqOPBNLWSHKh2a30DoXe8/edit?usp=sharing"",""พังงา!J558"")"),0)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IFERROR(__xludf.DUMMYFUNCTION("IMPORTRANGE(""https://docs.google.com/spreadsheets/d/1IYY_tgx_IHuhSq3AJ5eI5OnqOPBNLWSHKh2a30DoXe8/edit?usp=sharing"",""พังงา!I560"")"),0)</f>
        <v>0</v>
      </c>
      <c r="J665" s="547">
        <f ca="1">IFERROR(__xludf.DUMMYFUNCTION("IMPORTRANGE(""https://docs.google.com/spreadsheets/d/1IYY_tgx_IHuhSq3AJ5eI5OnqOPBNLWSHKh2a30DoXe8/edit?usp=sharing"",""พังงา!J560"")"),0)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IFERROR(__xludf.DUMMYFUNCTION("IMPORTRANGE(""https://docs.google.com/spreadsheets/d/1IYY_tgx_IHuhSq3AJ5eI5OnqOPBNLWSHKh2a30DoXe8/edit?usp=sharing"",""พังงา!L560"")"),0)</f>
        <v>0</v>
      </c>
      <c r="M665" s="534"/>
      <c r="N665" s="549">
        <f ca="1">IFERROR(__xludf.DUMMYFUNCTION("IMPORTRANGE(""https://docs.google.com/spreadsheets/d/1IYY_tgx_IHuhSq3AJ5eI5OnqOPBNLWSHKh2a30DoXe8/edit?usp=sharing"",""พังงา!M560"")"),0)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IFERROR(__xludf.DUMMYFUNCTION("IMPORTRANGE(""https://docs.google.com/spreadsheets/d/1IYY_tgx_IHuhSq3AJ5eI5OnqOPBNLWSHKh2a30DoXe8/edit?usp=sharing"",""พังงา!J561"")"),0)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IFERROR(__xludf.DUMMYFUNCTION("IMPORTRANGE(""https://docs.google.com/spreadsheets/d/1IYY_tgx_IHuhSq3AJ5eI5OnqOPBNLWSHKh2a30DoXe8/edit?usp=sharing"",""พังงา!J562"")"),0)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IFERROR(__xludf.DUMMYFUNCTION("IMPORTRANGE(""https://docs.google.com/spreadsheets/d/1IYY_tgx_IHuhSq3AJ5eI5OnqOPBNLWSHKh2a30DoXe8/edit?usp=sharing"",""พังงา!I563"")"),0)</f>
        <v>0</v>
      </c>
      <c r="J668" s="547">
        <f ca="1">IFERROR(__xludf.DUMMYFUNCTION("IMPORTRANGE(""https://docs.google.com/spreadsheets/d/1IYY_tgx_IHuhSq3AJ5eI5OnqOPBNLWSHKh2a30DoXe8/edit?usp=sharing"",""พังงา!J563"")"),0)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IFERROR(__xludf.DUMMYFUNCTION("IMPORTRANGE(""https://docs.google.com/spreadsheets/d/1IYY_tgx_IHuhSq3AJ5eI5OnqOPBNLWSHKh2a30DoXe8/edit?usp=sharing"",""พังงา!L563"")"),0)</f>
        <v>0</v>
      </c>
      <c r="M668" s="534"/>
      <c r="N668" s="549">
        <f ca="1">IFERROR(__xludf.DUMMYFUNCTION("IMPORTRANGE(""https://docs.google.com/spreadsheets/d/1IYY_tgx_IHuhSq3AJ5eI5OnqOPBNLWSHKh2a30DoXe8/edit?usp=sharing"",""พังงา!M563"")"),0)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IFERROR(__xludf.DUMMYFUNCTION("IMPORTRANGE(""https://docs.google.com/spreadsheets/d/1IYY_tgx_IHuhSq3AJ5eI5OnqOPBNLWSHKh2a30DoXe8/edit?usp=sharing"",""พังงา!J564"")"),0)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IFERROR(__xludf.DUMMYFUNCTION("IMPORTRANGE(""https://docs.google.com/spreadsheets/d/1IYY_tgx_IHuhSq3AJ5eI5OnqOPBNLWSHKh2a30DoXe8/edit?usp=sharing"",""พังงา!J565"")"),0)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IFERROR(__xludf.DUMMYFUNCTION("IMPORTRANGE(""https://docs.google.com/spreadsheets/d/1IYY_tgx_IHuhSq3AJ5eI5OnqOPBNLWSHKh2a30DoXe8/edit?usp=sharing"",""พังงา!I566"")"),0)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IFERROR(__xludf.DUMMYFUNCTION("IMPORTRANGE(""https://docs.google.com/spreadsheets/d/1IYY_tgx_IHuhSq3AJ5eI5OnqOPBNLWSHKh2a30DoXe8/edit?usp=sharing"",""พังงา!L566"")"),0)</f>
        <v>0</v>
      </c>
      <c r="M671" s="534"/>
      <c r="N671" s="549">
        <f ca="1">IFERROR(__xludf.DUMMYFUNCTION("IMPORTRANGE(""https://docs.google.com/spreadsheets/d/1IYY_tgx_IHuhSq3AJ5eI5OnqOPBNLWSHKh2a30DoXe8/edit?usp=sharing"",""พังงา!M566"")"),0)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IFERROR(__xludf.DUMMYFUNCTION("IMPORTRANGE(""https://docs.google.com/spreadsheets/d/1IYY_tgx_IHuhSq3AJ5eI5OnqOPBNLWSHKh2a30DoXe8/edit?usp=sharing"",""พังงา!J567"")"),0)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IFERROR(__xludf.DUMMYFUNCTION("IMPORTRANGE(""https://docs.google.com/spreadsheets/d/1IYY_tgx_IHuhSq3AJ5eI5OnqOPBNLWSHKh2a30DoXe8/edit?usp=sharing"",""พังงา!J568"")"),0)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IFERROR(__xludf.DUMMYFUNCTION("IMPORTRANGE(""https://docs.google.com/spreadsheets/d/1IYY_tgx_IHuhSq3AJ5eI5OnqOPBNLWSHKh2a30DoXe8/edit?usp=sharing"",""พังงา!J569"")"),0)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IFERROR(__xludf.DUMMYFUNCTION("IMPORTRANGE(""https://docs.google.com/spreadsheets/d/1IYY_tgx_IHuhSq3AJ5eI5OnqOPBNLWSHKh2a30DoXe8/edit?usp=sharing"",""พังงา!J570"")"),0)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IFERROR(__xludf.DUMMYFUNCTION("IMPORTRANGE(""https://docs.google.com/spreadsheets/d/1IYY_tgx_IHuhSq3AJ5eI5OnqOPBNLWSHKh2a30DoXe8/edit?usp=sharing"",""พังงา!J571"")"),0)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IFERROR(__xludf.DUMMYFUNCTION("IMPORTRANGE(""https://docs.google.com/spreadsheets/d/1IYY_tgx_IHuhSq3AJ5eI5OnqOPBNLWSHKh2a30DoXe8/edit?usp=sharing"",""พังงา!J572"")"),0)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275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6.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4605162</v>
      </c>
      <c r="M8" s="23">
        <f t="shared" ca="1" si="0"/>
        <v>3125110</v>
      </c>
      <c r="N8" s="23">
        <f t="shared" ca="1" si="0"/>
        <v>3709008.16</v>
      </c>
      <c r="O8" s="22">
        <f t="shared" ref="O8:O16" ca="1" si="1">IF(L8&gt;0,N8*100/L8,0)</f>
        <v>80.540232026582345</v>
      </c>
      <c r="P8" s="22">
        <f t="shared" ref="P8:P16" ca="1" si="2">IF(M8&gt;0,N8*100/M8,0)</f>
        <v>118.6840834402629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4605162</v>
      </c>
      <c r="M10" s="30">
        <f t="shared" ca="1" si="4"/>
        <v>3125110</v>
      </c>
      <c r="N10" s="30">
        <f t="shared" ca="1" si="4"/>
        <v>3709008.16</v>
      </c>
      <c r="O10" s="29">
        <f t="shared" ca="1" si="1"/>
        <v>80.540232026582345</v>
      </c>
      <c r="P10" s="29">
        <f t="shared" ca="1" si="2"/>
        <v>118.6840834402629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4262762</v>
      </c>
      <c r="M12" s="38">
        <f t="shared" ca="1" si="6"/>
        <v>2885710</v>
      </c>
      <c r="N12" s="38">
        <f t="shared" ca="1" si="6"/>
        <v>3374608.16</v>
      </c>
      <c r="O12" s="38">
        <f t="shared" ca="1" si="1"/>
        <v>79.164826936150789</v>
      </c>
      <c r="P12" s="38">
        <f t="shared" ca="1" si="2"/>
        <v>116.942040606991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1742900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2519862</v>
      </c>
      <c r="M14" s="38">
        <f t="shared" si="8"/>
        <v>0</v>
      </c>
      <c r="N14" s="38">
        <f t="shared" ca="1" si="8"/>
        <v>1082474.8499999999</v>
      </c>
      <c r="O14" s="41">
        <f t="shared" ca="1" si="1"/>
        <v>42.9577036361515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342400</v>
      </c>
      <c r="M16" s="38">
        <f t="shared" ca="1" si="10"/>
        <v>239400</v>
      </c>
      <c r="N16" s="38">
        <f t="shared" ca="1" si="10"/>
        <v>334400</v>
      </c>
      <c r="O16" s="50">
        <f t="shared" ca="1" si="1"/>
        <v>97.663551401869157</v>
      </c>
      <c r="P16" s="50">
        <f t="shared" ca="1" si="2"/>
        <v>139.68253968253967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2952215</v>
      </c>
      <c r="M18" s="23">
        <f t="shared" ca="1" si="11"/>
        <v>3125110</v>
      </c>
      <c r="N18" s="23">
        <f t="shared" ca="1" si="11"/>
        <v>2523533.31</v>
      </c>
      <c r="O18" s="22">
        <f t="shared" ref="O18:O20" ca="1" si="12">IF(L18&gt;0,N18*100/L18,0)</f>
        <v>85.479320103718734</v>
      </c>
      <c r="P18" s="22">
        <f t="shared" ref="P18:P26" ca="1" si="13">IF(M18&gt;0,N18*100/M18,0)</f>
        <v>80.750223512132379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2952215</v>
      </c>
      <c r="M20" s="30">
        <f t="shared" ca="1" si="15"/>
        <v>3125110</v>
      </c>
      <c r="N20" s="30">
        <f t="shared" ca="1" si="15"/>
        <v>2523533.31</v>
      </c>
      <c r="O20" s="29">
        <f t="shared" ca="1" si="12"/>
        <v>85.479320103718734</v>
      </c>
      <c r="P20" s="29">
        <f t="shared" ca="1" si="13"/>
        <v>80.750223512132379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2712815</v>
      </c>
      <c r="M22" s="42">
        <f t="shared" ca="1" si="18"/>
        <v>2885710</v>
      </c>
      <c r="N22" s="41">
        <f t="shared" ca="1" si="18"/>
        <v>2292133.31</v>
      </c>
      <c r="O22" s="41">
        <f t="shared" ca="1" si="17"/>
        <v>84.492798439996832</v>
      </c>
      <c r="P22" s="41">
        <f t="shared" ca="1" si="13"/>
        <v>79.430480193782472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1742900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969915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239400</v>
      </c>
      <c r="M26" s="50">
        <f t="shared" ca="1" si="22"/>
        <v>239400</v>
      </c>
      <c r="N26" s="50">
        <f t="shared" ca="1" si="22"/>
        <v>231400</v>
      </c>
      <c r="O26" s="50">
        <f t="shared" ca="1" si="17"/>
        <v>96.65831244778613</v>
      </c>
      <c r="P26" s="50">
        <f t="shared" ca="1" si="13"/>
        <v>96.65831244778613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1652947</v>
      </c>
      <c r="M28" s="23">
        <f t="shared" si="23"/>
        <v>0</v>
      </c>
      <c r="N28" s="23">
        <f t="shared" ca="1" si="23"/>
        <v>1185474.8499999999</v>
      </c>
      <c r="O28" s="22">
        <f t="shared" ref="O28:O30" ca="1" si="24">IF(L28&gt;0,N28*100/L28,0)</f>
        <v>71.718866364136289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1652947</v>
      </c>
      <c r="M30" s="30">
        <f t="shared" si="27"/>
        <v>0</v>
      </c>
      <c r="N30" s="30">
        <f t="shared" ca="1" si="27"/>
        <v>1185474.8499999999</v>
      </c>
      <c r="O30" s="29">
        <f t="shared" ca="1" si="24"/>
        <v>71.718866364136289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</f>
        <v>1549947</v>
      </c>
      <c r="M32" s="41">
        <f>M352+M383+M404+M437+M457+M535+M553+M566+M582+M599</f>
        <v>0</v>
      </c>
      <c r="N32" s="41">
        <f ca="1">N352+N383+N404+N437+N457+N535+N553+N566+N582+N599-103000</f>
        <v>1082474.8499999999</v>
      </c>
      <c r="O32" s="41">
        <f t="shared" ca="1" si="29"/>
        <v>69.839475156247275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1549947</v>
      </c>
      <c r="M34" s="41">
        <f t="shared" si="31"/>
        <v>0</v>
      </c>
      <c r="N34" s="41">
        <f t="shared" ca="1" si="31"/>
        <v>1082474.8499999999</v>
      </c>
      <c r="O34" s="41">
        <f t="shared" ca="1" si="29"/>
        <v>69.839475156247275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103000</v>
      </c>
      <c r="M36" s="52">
        <v>0</v>
      </c>
      <c r="N36" s="52">
        <v>103000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2952215</v>
      </c>
      <c r="M37" s="55">
        <f t="shared" ca="1" si="32"/>
        <v>3125110</v>
      </c>
      <c r="N37" s="55">
        <f t="shared" ca="1" si="32"/>
        <v>2523533.31</v>
      </c>
      <c r="O37" s="56">
        <f t="shared" ca="1" si="29"/>
        <v>85.479320103718734</v>
      </c>
      <c r="P37" s="56">
        <f t="shared" ca="1" si="25"/>
        <v>80.750223512132379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3">L42+L43</f>
        <v>604100</v>
      </c>
      <c r="M41" s="79">
        <f t="shared" ca="1" si="33"/>
        <v>604100</v>
      </c>
      <c r="N41" s="79">
        <f t="shared" ca="1" si="33"/>
        <v>471886.97</v>
      </c>
      <c r="O41" s="78">
        <f t="shared" ref="O41:O43" ca="1" si="34">IF(L41&gt;0,N41*100/L41,0)</f>
        <v>78.114048998510185</v>
      </c>
      <c r="P41" s="78">
        <f t="shared" ref="P41:P43" ca="1" si="35">IF(M41&gt;0,N41*100/M41,0)</f>
        <v>78.114048998510185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604100</v>
      </c>
      <c r="M43" s="79">
        <f t="shared" ca="1" si="37"/>
        <v>604100</v>
      </c>
      <c r="N43" s="79">
        <f t="shared" ca="1" si="37"/>
        <v>471886.97</v>
      </c>
      <c r="O43" s="78">
        <f t="shared" ca="1" si="34"/>
        <v>78.114048998510185</v>
      </c>
      <c r="P43" s="78">
        <f t="shared" ca="1" si="35"/>
        <v>78.114048998510185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604100</v>
      </c>
      <c r="M45" s="91">
        <f ca="1">IFERROR(__xludf.DUMMYFUNCTION("IMPORTRANGE(""https://docs.google.com/spreadsheets/d/1Yj_ptqi66GCucihVvJfMjLAmec39IyEx_6qawtMGysU/edit?usp=sharing"",""สบก!Q88"")"),604100)</f>
        <v>604100</v>
      </c>
      <c r="N45" s="91">
        <f ca="1">IFERROR(__xludf.DUMMYFUNCTION("IMPORTRANGE(""https://docs.google.com/spreadsheets/d/1Yj_ptqi66GCucihVvJfMjLAmec39IyEx_6qawtMGysU/edit?usp=sharing"",""สบก!R88"")"),471886.97)</f>
        <v>471886.97</v>
      </c>
      <c r="O45" s="92">
        <f ca="1">IF(L45&gt;0,N45*100/L45,0)</f>
        <v>78.114048998510185</v>
      </c>
      <c r="P45" s="92">
        <f ca="1">IF(M45&gt;0,N45*100/M45,0)</f>
        <v>78.114048998510185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IFERROR(__xludf.DUMMYFUNCTION("IMPORTRANGE(""https://docs.google.com/spreadsheets/d/1Yj_ptqi66GCucihVvJfMjLAmec39IyEx_6qawtMGysU/edit?usp=sharing"",""สบก!M88"")"),604100)</f>
        <v>604100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8">L54+L55</f>
        <v>512600</v>
      </c>
      <c r="M53" s="125">
        <f t="shared" ca="1" si="38"/>
        <v>526460</v>
      </c>
      <c r="N53" s="125">
        <f t="shared" ca="1" si="38"/>
        <v>521839.21</v>
      </c>
      <c r="O53" s="124">
        <f t="shared" ref="O53:O55" ca="1" si="39">IF(L53&gt;0,N53*100/L53,0)</f>
        <v>101.80242099102614</v>
      </c>
      <c r="P53" s="124">
        <f t="shared" ref="P53:P55" ca="1" si="40">IF(M53&gt;0,N53*100/M53,0)</f>
        <v>99.122290392432475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512600</v>
      </c>
      <c r="M55" s="125">
        <f t="shared" ca="1" si="42"/>
        <v>526460</v>
      </c>
      <c r="N55" s="125">
        <f t="shared" ca="1" si="42"/>
        <v>521839.21</v>
      </c>
      <c r="O55" s="124">
        <f t="shared" ca="1" si="39"/>
        <v>101.80242099102614</v>
      </c>
      <c r="P55" s="124">
        <f t="shared" ca="1" si="40"/>
        <v>99.122290392432475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512600</v>
      </c>
      <c r="M57" s="91">
        <f ca="1">IFERROR(__xludf.DUMMYFUNCTION("IMPORTRANGE(""https://docs.google.com/spreadsheets/d/1Yj_ptqi66GCucihVvJfMjLAmec39IyEx_6qawtMGysU/edit?usp=sharing"",""สบก!Z88"")"),526460)</f>
        <v>526460</v>
      </c>
      <c r="N57" s="91">
        <f ca="1">IFERROR(__xludf.DUMMYFUNCTION("IMPORTRANGE(""https://docs.google.com/spreadsheets/d/1Yj_ptqi66GCucihVvJfMjLAmec39IyEx_6qawtMGysU/edit?usp=sharing"",""สบก!AA88"")"),521839.21)</f>
        <v>521839.21</v>
      </c>
      <c r="O57" s="92">
        <f ca="1">IF(L57&gt;0,N57*100/L57,0)</f>
        <v>101.80242099102614</v>
      </c>
      <c r="P57" s="92">
        <f ca="1">IF(M57&gt;0,N57*100/M57,0)</f>
        <v>99.122290392432475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IFERROR(__xludf.DUMMYFUNCTION("IMPORTRANGE(""https://docs.google.com/spreadsheets/d/1Yj_ptqi66GCucihVvJfMjLAmec39IyEx_6qawtMGysU/edit?usp=sharing"",""สบก!V88"")"),512600)</f>
        <v>512600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4">L67+L68</f>
        <v>580200</v>
      </c>
      <c r="M66" s="156">
        <f t="shared" ca="1" si="44"/>
        <v>631420</v>
      </c>
      <c r="N66" s="156">
        <f t="shared" ca="1" si="44"/>
        <v>505569.05</v>
      </c>
      <c r="O66" s="155">
        <f t="shared" ref="O66:O68" ca="1" si="45">IF(L66&gt;0,N66*100/L66,0)</f>
        <v>87.137030334367466</v>
      </c>
      <c r="P66" s="155">
        <f t="shared" ref="P66:P68" ca="1" si="46">IF(M66&gt;0,N66*100/M66,0)</f>
        <v>80.068583510183402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580200</v>
      </c>
      <c r="M68" s="161">
        <f t="shared" ca="1" si="48"/>
        <v>631420</v>
      </c>
      <c r="N68" s="161">
        <f t="shared" ca="1" si="48"/>
        <v>505569.05</v>
      </c>
      <c r="O68" s="160">
        <f t="shared" ca="1" si="45"/>
        <v>87.137030334367466</v>
      </c>
      <c r="P68" s="160">
        <f t="shared" ca="1" si="46"/>
        <v>80.068583510183402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580200</v>
      </c>
      <c r="M70" s="173">
        <f ca="1">IFERROR(__xludf.DUMMYFUNCTION("IMPORTRANGE(""https://docs.google.com/spreadsheets/d/1Yj_ptqi66GCucihVvJfMjLAmec39IyEx_6qawtMGysU/edit?usp=sharing"",""สบก!AI88"")"),631420)</f>
        <v>631420</v>
      </c>
      <c r="N70" s="174">
        <f ca="1">IFERROR(__xludf.DUMMYFUNCTION("IMPORTRANGE(""https://docs.google.com/spreadsheets/d/1Yj_ptqi66GCucihVvJfMjLAmec39IyEx_6qawtMGysU/edit?usp=sharing"",""สบก!AJ88"")"),505569.05)</f>
        <v>505569.05</v>
      </c>
      <c r="O70" s="175">
        <f ca="1">IF(L70&gt;0,N70*100/L70,0)</f>
        <v>87.137030334367466</v>
      </c>
      <c r="P70" s="175">
        <f ca="1">IF(M70&gt;0,N70*100/M70,0)</f>
        <v>80.068583510183402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IFERROR(__xludf.DUMMYFUNCTION("IMPORTRANGE(""https://docs.google.com/spreadsheets/d/1Yj_ptqi66GCucihVvJfMjLAmec39IyEx_6qawtMGysU/edit?usp=sharing"",""สบก!AE88"")"),188200)</f>
        <v>188200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IFERROR(__xludf.DUMMYFUNCTION("IMPORTRANGE(""https://docs.google.com/spreadsheets/d/1Yj_ptqi66GCucihVvJfMjLAmec39IyEx_6qawtMGysU/edit?usp=sharing"",""สบก!AF88"")"),392000)</f>
        <v>392000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IFERROR(__xludf.DUMMYFUNCTION("IMPORTRANGE(""https://docs.google.com/spreadsheets/d/1IYY_tgx_IHuhSq3AJ5eI5OnqOPBNLWSHKh2a30DoXe8/edit?usp=sharing"",""พัทลุง!J16"")"),0)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IFERROR(__xludf.DUMMYFUNCTION("IMPORTRANGE(""https://docs.google.com/spreadsheets/d/1IYY_tgx_IHuhSq3AJ5eI5OnqOPBNLWSHKh2a30DoXe8/edit?usp=sharing"",""พัทลุง!J17"")"),1)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IFERROR(__xludf.DUMMYFUNCTION("IMPORTRANGE(""https://docs.google.com/spreadsheets/d/1IYY_tgx_IHuhSq3AJ5eI5OnqOPBNLWSHKh2a30DoXe8/edit?usp=sharing"",""พัทลุง!J18"")"),1)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IFERROR(__xludf.DUMMYFUNCTION("IMPORTRANGE(""https://docs.google.com/spreadsheets/d/1IYY_tgx_IHuhSq3AJ5eI5OnqOPBNLWSHKh2a30DoXe8/edit?usp=sharing"",""พัทลุง!J19"")"),1)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IFERROR(__xludf.DUMMYFUNCTION("IMPORTRANGE(""https://docs.google.com/spreadsheets/d/1IYY_tgx_IHuhSq3AJ5eI5OnqOPBNLWSHKh2a30DoXe8/edit?usp=sharing"",""พัทลุง!I20"")"),1)</f>
        <v>1</v>
      </c>
      <c r="J80" s="207">
        <f ca="1">IFERROR(__xludf.DUMMYFUNCTION("IMPORTRANGE(""https://docs.google.com/spreadsheets/d/1IYY_tgx_IHuhSq3AJ5eI5OnqOPBNLWSHKh2a30DoXe8/edit?usp=sharing"",""พัทลุง!J20"")"),1)</f>
        <v>1</v>
      </c>
      <c r="K80" s="208">
        <f t="shared" ref="K80:K88" ca="1" si="49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IFERROR(__xludf.DUMMYFUNCTION("IMPORTRANGE(""https://docs.google.com/spreadsheets/d/1IYY_tgx_IHuhSq3AJ5eI5OnqOPBNLWSHKh2a30DoXe8/edit?usp=sharing"",""พัทลุง!I21"")"),30)</f>
        <v>30</v>
      </c>
      <c r="J81" s="207">
        <f ca="1">IFERROR(__xludf.DUMMYFUNCTION("IMPORTRANGE(""https://docs.google.com/spreadsheets/d/1IYY_tgx_IHuhSq3AJ5eI5OnqOPBNLWSHKh2a30DoXe8/edit?usp=sharing"",""พัทลุง!J21"")"),30)</f>
        <v>30</v>
      </c>
      <c r="K81" s="208">
        <f t="shared" ca="1" si="49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IFERROR(__xludf.DUMMYFUNCTION("IMPORTRANGE(""https://docs.google.com/spreadsheets/d/1IYY_tgx_IHuhSq3AJ5eI5OnqOPBNLWSHKh2a30DoXe8/edit?usp=sharing"",""พัทลุง!I22"")"),1)</f>
        <v>1</v>
      </c>
      <c r="J82" s="210">
        <f ca="1">IFERROR(__xludf.DUMMYFUNCTION("IMPORTRANGE(""https://docs.google.com/spreadsheets/d/1IYY_tgx_IHuhSq3AJ5eI5OnqOPBNLWSHKh2a30DoXe8/edit?usp=sharing"",""พัทลุง!J22"")"),1)</f>
        <v>1</v>
      </c>
      <c r="K82" s="167">
        <f t="shared" ca="1" si="49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IFERROR(__xludf.DUMMYFUNCTION("IMPORTRANGE(""https://docs.google.com/spreadsheets/d/1IYY_tgx_IHuhSq3AJ5eI5OnqOPBNLWSHKh2a30DoXe8/edit?usp=sharing"",""พัทลุง!I23"")"),30)</f>
        <v>30</v>
      </c>
      <c r="J83" s="210">
        <f ca="1">IFERROR(__xludf.DUMMYFUNCTION("IMPORTRANGE(""https://docs.google.com/spreadsheets/d/1IYY_tgx_IHuhSq3AJ5eI5OnqOPBNLWSHKh2a30DoXe8/edit?usp=sharing"",""พัทลุง!J23"")"),30)</f>
        <v>30</v>
      </c>
      <c r="K83" s="167">
        <f t="shared" ca="1" si="49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IFERROR(__xludf.DUMMYFUNCTION("IMPORTRANGE(""https://docs.google.com/spreadsheets/d/1IYY_tgx_IHuhSq3AJ5eI5OnqOPBNLWSHKh2a30DoXe8/edit?usp=sharing"",""พัทลุง!I24"")"),0)</f>
        <v>0</v>
      </c>
      <c r="J84" s="195">
        <f ca="1">IFERROR(__xludf.DUMMYFUNCTION("IMPORTRANGE(""https://docs.google.com/spreadsheets/d/1IYY_tgx_IHuhSq3AJ5eI5OnqOPBNLWSHKh2a30DoXe8/edit?usp=sharing"",""พัทลุง!J24"")"),0)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IFERROR(__xludf.DUMMYFUNCTION("IMPORTRANGE(""https://docs.google.com/spreadsheets/d/1IYY_tgx_IHuhSq3AJ5eI5OnqOPBNLWSHKh2a30DoXe8/edit?usp=sharing"",""พัทลุง!I25"")"),0)</f>
        <v>0</v>
      </c>
      <c r="J85" s="195">
        <f ca="1">IFERROR(__xludf.DUMMYFUNCTION("IMPORTRANGE(""https://docs.google.com/spreadsheets/d/1IYY_tgx_IHuhSq3AJ5eI5OnqOPBNLWSHKh2a30DoXe8/edit?usp=sharing"",""พัทลุง!J25"")"),0)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IFERROR(__xludf.DUMMYFUNCTION("IMPORTRANGE(""https://docs.google.com/spreadsheets/d/1IYY_tgx_IHuhSq3AJ5eI5OnqOPBNLWSHKh2a30DoXe8/edit?usp=sharing"",""พัทลุง!I26"")"),0)</f>
        <v>0</v>
      </c>
      <c r="J86" s="210">
        <f ca="1">IFERROR(__xludf.DUMMYFUNCTION("IMPORTRANGE(""https://docs.google.com/spreadsheets/d/1IYY_tgx_IHuhSq3AJ5eI5OnqOPBNLWSHKh2a30DoXe8/edit?usp=sharing"",""พัทลุง!J26"")"),0)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IFERROR(__xludf.DUMMYFUNCTION("IMPORTRANGE(""https://docs.google.com/spreadsheets/d/1IYY_tgx_IHuhSq3AJ5eI5OnqOPBNLWSHKh2a30DoXe8/edit?usp=sharing"",""พัทลุง!I27"")"),0)</f>
        <v>0</v>
      </c>
      <c r="J87" s="210">
        <f ca="1">IFERROR(__xludf.DUMMYFUNCTION("IMPORTRANGE(""https://docs.google.com/spreadsheets/d/1IYY_tgx_IHuhSq3AJ5eI5OnqOPBNLWSHKh2a30DoXe8/edit?usp=sharing"",""พัทลุง!J27"")"),0)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IFERROR(__xludf.DUMMYFUNCTION("IMPORTRANGE(""https://docs.google.com/spreadsheets/d/1IYY_tgx_IHuhSq3AJ5eI5OnqOPBNLWSHKh2a30DoXe8/edit?usp=sharing"",""พัทลุง!I28"")"),1)</f>
        <v>1</v>
      </c>
      <c r="J88" s="210">
        <f ca="1">IFERROR(__xludf.DUMMYFUNCTION("IMPORTRANGE(""https://docs.google.com/spreadsheets/d/1IYY_tgx_IHuhSq3AJ5eI5OnqOPBNLWSHKh2a30DoXe8/edit?usp=sharing"",""พัทลุง!J28"")"),1)</f>
        <v>1</v>
      </c>
      <c r="K88" s="167">
        <f t="shared" ca="1" si="49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IFERROR(__xludf.DUMMYFUNCTION("IMPORTRANGE(""https://docs.google.com/spreadsheets/d/1IYY_tgx_IHuhSq3AJ5eI5OnqOPBNLWSHKh2a30DoXe8/edit?usp=sharing"",""พัทลุง!J29"")"),0)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IFERROR(__xludf.DUMMYFUNCTION("IMPORTRANGE(""https://docs.google.com/spreadsheets/d/1IYY_tgx_IHuhSq3AJ5eI5OnqOPBNLWSHKh2a30DoXe8/edit?usp=sharing"",""พัทลุง!J30"")"),0)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IFERROR(__xludf.DUMMYFUNCTION("IMPORTRANGE(""https://docs.google.com/spreadsheets/d/1IYY_tgx_IHuhSq3AJ5eI5OnqOPBNLWSHKh2a30DoXe8/edit?usp=sharing"",""พัทลุง!J32"")"),4)</f>
        <v>4</v>
      </c>
      <c r="K92" s="147">
        <f t="shared" ref="K92:K93" ca="1" si="50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0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1">L95+L96</f>
        <v>214500</v>
      </c>
      <c r="M94" s="156">
        <f t="shared" ca="1" si="51"/>
        <v>214500</v>
      </c>
      <c r="N94" s="156">
        <f t="shared" ca="1" si="51"/>
        <v>142600</v>
      </c>
      <c r="O94" s="155">
        <f t="shared" ref="O94:O96" ca="1" si="52">IF(L94&gt;0,N94*100/L94,0)</f>
        <v>66.480186480186475</v>
      </c>
      <c r="P94" s="155">
        <f t="shared" ref="P94:P96" ca="1" si="53">IF(M94&gt;0,N94*100/M94,0)</f>
        <v>66.480186480186475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214500</v>
      </c>
      <c r="M96" s="161">
        <f t="shared" ca="1" si="55"/>
        <v>214500</v>
      </c>
      <c r="N96" s="161">
        <f t="shared" ca="1" si="55"/>
        <v>142600</v>
      </c>
      <c r="O96" s="160">
        <f t="shared" ca="1" si="52"/>
        <v>66.480186480186475</v>
      </c>
      <c r="P96" s="160">
        <f t="shared" ca="1" si="53"/>
        <v>66.480186480186475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IFERROR(__xludf.DUMMYFUNCTION("IMPORTRANGE(""https://docs.google.com/spreadsheets/d/1Yj_ptqi66GCucihVvJfMjLAmec39IyEx_6qawtMGysU/edit?usp=sharing"",""สบก!AR88"")"),122100)</f>
        <v>122100</v>
      </c>
      <c r="N98" s="174">
        <f ca="1">IFERROR(__xludf.DUMMYFUNCTION("IMPORTRANGE(""https://docs.google.com/spreadsheets/d/1Yj_ptqi66GCucihVvJfMjLAmec39IyEx_6qawtMGysU/edit?usp=sharing"",""สบก!AS88"")"),50200)</f>
        <v>50200</v>
      </c>
      <c r="O98" s="175">
        <f ca="1">IF(L98&gt;0,N98*100/L98,0)</f>
        <v>41.113841113841112</v>
      </c>
      <c r="P98" s="175">
        <f ca="1">IF(M98&gt;0,N98*100/M98,0)</f>
        <v>41.113841113841112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IFERROR(__xludf.DUMMYFUNCTION("IMPORTRANGE(""https://docs.google.com/spreadsheets/d/1Yj_ptqi66GCucihVvJfMjLAmec39IyEx_6qawtMGysU/edit?usp=sharing"",""สบก!AN88"")"),0)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IFERROR(__xludf.DUMMYFUNCTION("IMPORTRANGE(""https://docs.google.com/spreadsheets/d/1Yj_ptqi66GCucihVvJfMjLAmec39IyEx_6qawtMGysU/edit?usp=sharing"",""สบก!AO88"")"),122100)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IFERROR(__xludf.DUMMYFUNCTION("IMPORTRANGE(""https://docs.google.com/spreadsheets/d/1IYY_tgx_IHuhSq3AJ5eI5OnqOPBNLWSHKh2a30DoXe8/edit?usp=sharing"",""พัทลุง!J39"")"),0)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IFERROR(__xludf.DUMMYFUNCTION("IMPORTRANGE(""https://docs.google.com/spreadsheets/d/1IYY_tgx_IHuhSq3AJ5eI5OnqOPBNLWSHKh2a30DoXe8/edit?usp=sharing"",""พัทลุง!J40"")"),1)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IFERROR(__xludf.DUMMYFUNCTION("IMPORTRANGE(""https://docs.google.com/spreadsheets/d/1IYY_tgx_IHuhSq3AJ5eI5OnqOPBNLWSHKh2a30DoXe8/edit?usp=sharing"",""พัทลุง!J41"")"),1)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IFERROR(__xludf.DUMMYFUNCTION("IMPORTRANGE(""https://docs.google.com/spreadsheets/d/1IYY_tgx_IHuhSq3AJ5eI5OnqOPBNLWSHKh2a30DoXe8/edit?usp=sharing"",""พัทลุง!J42"")"),1)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IFERROR(__xludf.DUMMYFUNCTION("IMPORTRANGE(""https://docs.google.com/spreadsheets/d/1IYY_tgx_IHuhSq3AJ5eI5OnqOPBNLWSHKh2a30DoXe8/edit?usp=sharing"",""พัทลุง!I43"")"),1)</f>
        <v>1</v>
      </c>
      <c r="J108" s="210">
        <f ca="1">IFERROR(__xludf.DUMMYFUNCTION("IMPORTRANGE(""https://docs.google.com/spreadsheets/d/1IYY_tgx_IHuhSq3AJ5eI5OnqOPBNLWSHKh2a30DoXe8/edit?usp=sharing"",""พัทลุง!J43"")"),1)</f>
        <v>1</v>
      </c>
      <c r="K108" s="230">
        <f t="shared" ref="K108:K113" ca="1" si="56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IFERROR(__xludf.DUMMYFUNCTION("IMPORTRANGE(""https://docs.google.com/spreadsheets/d/1IYY_tgx_IHuhSq3AJ5eI5OnqOPBNLWSHKh2a30DoXe8/edit?usp=sharing"",""พัทลุง!I44"")"),4)</f>
        <v>4</v>
      </c>
      <c r="J109" s="210">
        <f ca="1">IFERROR(__xludf.DUMMYFUNCTION("IMPORTRANGE(""https://docs.google.com/spreadsheets/d/1IYY_tgx_IHuhSq3AJ5eI5OnqOPBNLWSHKh2a30DoXe8/edit?usp=sharing"",""พัทลุง!J44"")"),4)</f>
        <v>4</v>
      </c>
      <c r="K109" s="230">
        <f t="shared" ca="1" si="56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IFERROR(__xludf.DUMMYFUNCTION("IMPORTRANGE(""https://docs.google.com/spreadsheets/d/1IYY_tgx_IHuhSq3AJ5eI5OnqOPBNLWSHKh2a30DoXe8/edit?usp=sharing"",""พัทลุง!I45"")"),4)</f>
        <v>4</v>
      </c>
      <c r="J110" s="210">
        <f ca="1">IFERROR(__xludf.DUMMYFUNCTION("IMPORTRANGE(""https://docs.google.com/spreadsheets/d/1IYY_tgx_IHuhSq3AJ5eI5OnqOPBNLWSHKh2a30DoXe8/edit?usp=sharing"",""พัทลุง!J45"")"),4)</f>
        <v>4</v>
      </c>
      <c r="K110" s="230">
        <f t="shared" ca="1" si="56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IFERROR(__xludf.DUMMYFUNCTION("IMPORTRANGE(""https://docs.google.com/spreadsheets/d/1IYY_tgx_IHuhSq3AJ5eI5OnqOPBNLWSHKh2a30DoXe8/edit?usp=sharing"",""พัทลุง!I46"")"),4)</f>
        <v>4</v>
      </c>
      <c r="J111" s="210">
        <f ca="1">IFERROR(__xludf.DUMMYFUNCTION("IMPORTRANGE(""https://docs.google.com/spreadsheets/d/1IYY_tgx_IHuhSq3AJ5eI5OnqOPBNLWSHKh2a30DoXe8/edit?usp=sharing"",""พัทลุง!J46"")"),4)</f>
        <v>4</v>
      </c>
      <c r="K111" s="230">
        <f t="shared" ca="1" si="56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IFERROR(__xludf.DUMMYFUNCTION("IMPORTRANGE(""https://docs.google.com/spreadsheets/d/1IYY_tgx_IHuhSq3AJ5eI5OnqOPBNLWSHKh2a30DoXe8/edit?usp=sharing"",""พัทลุง!I47"")"),4)</f>
        <v>4</v>
      </c>
      <c r="J112" s="210">
        <f ca="1">IFERROR(__xludf.DUMMYFUNCTION("IMPORTRANGE(""https://docs.google.com/spreadsheets/d/1IYY_tgx_IHuhSq3AJ5eI5OnqOPBNLWSHKh2a30DoXe8/edit?usp=sharing"",""พัทลุง!J47"")"),4)</f>
        <v>4</v>
      </c>
      <c r="K112" s="230">
        <f t="shared" ca="1" si="56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IFERROR(__xludf.DUMMYFUNCTION("IMPORTRANGE(""https://docs.google.com/spreadsheets/d/1IYY_tgx_IHuhSq3AJ5eI5OnqOPBNLWSHKh2a30DoXe8/edit?usp=sharing"",""พัทลุง!I48"")"),1)</f>
        <v>1</v>
      </c>
      <c r="J113" s="210">
        <f ca="1">IFERROR(__xludf.DUMMYFUNCTION("IMPORTRANGE(""https://docs.google.com/spreadsheets/d/1IYY_tgx_IHuhSq3AJ5eI5OnqOPBNLWSHKh2a30DoXe8/edit?usp=sharing"",""พัทลุง!J48"")"),1)</f>
        <v>1</v>
      </c>
      <c r="K113" s="230">
        <f t="shared" ca="1" si="56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IFERROR(__xludf.DUMMYFUNCTION("IMPORTRANGE(""https://docs.google.com/spreadsheets/d/1IYY_tgx_IHuhSq3AJ5eI5OnqOPBNLWSHKh2a30DoXe8/edit?usp=sharing"",""พัทลุง!J49"")"),0)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IFERROR(__xludf.DUMMYFUNCTION("IMPORTRANGE(""https://docs.google.com/spreadsheets/d/1IYY_tgx_IHuhSq3AJ5eI5OnqOPBNLWSHKh2a30DoXe8/edit?usp=sharing"",""พัทลุง!J50"")"),0)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IFERROR(__xludf.DUMMYFUNCTION("IMPORTRANGE(""https://docs.google.com/spreadsheets/d/1Yj_ptqi66GCucihVvJfMjLAmec39IyEx_6qawtMGysU/edit?usp=sharing"",""สบก!BA88"")"),0)</f>
        <v>0</v>
      </c>
      <c r="N122" s="174">
        <f ca="1">IFERROR(__xludf.DUMMYFUNCTION("IMPORTRANGE(""https://docs.google.com/spreadsheets/d/1Yj_ptqi66GCucihVvJfMjLAmec39IyEx_6qawtMGysU/edit?usp=sharing"",""สบก!BB88"")"),0)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IFERROR(__xludf.DUMMYFUNCTION("IMPORTRANGE(""https://docs.google.com/spreadsheets/d/1Yj_ptqi66GCucihVvJfMjLAmec39IyEx_6qawtMGysU/edit?usp=sharing"",""สบก!AW88"")"),0)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IFERROR(__xludf.DUMMYFUNCTION("IMPORTRANGE(""https://docs.google.com/spreadsheets/d/1Yj_ptqi66GCucihVvJfMjLAmec39IyEx_6qawtMGysU/edit?usp=sharing"",""สบก!AX88"")"),0)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276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IFERROR(__xludf.DUMMYFUNCTION("IMPORTRANGE(""https://docs.google.com/spreadsheets/d/1IYY_tgx_IHuhSq3AJ5eI5OnqOPBNLWSHKh2a30DoXe8/edit?usp=sharing"",""พัทลุง!J58"")"),0)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IFERROR(__xludf.DUMMYFUNCTION("IMPORTRANGE(""https://docs.google.com/spreadsheets/d/1IYY_tgx_IHuhSq3AJ5eI5OnqOPBNLWSHKh2a30DoXe8/edit?usp=sharing"",""พัทลุง!J59"")"),0)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IFERROR(__xludf.DUMMYFUNCTION("IMPORTRANGE(""https://docs.google.com/spreadsheets/d/1IYY_tgx_IHuhSq3AJ5eI5OnqOPBNLWSHKh2a30DoXe8/edit?usp=sharing"",""พัทลุง!J60"")"),0)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IFERROR(__xludf.DUMMYFUNCTION("IMPORTRANGE(""https://docs.google.com/spreadsheets/d/1IYY_tgx_IHuhSq3AJ5eI5OnqOPBNLWSHKh2a30DoXe8/edit?usp=sharing"",""พัทลุง!J61"")"),0)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IFERROR(__xludf.DUMMYFUNCTION("IMPORTRANGE(""https://docs.google.com/spreadsheets/d/1IYY_tgx_IHuhSq3AJ5eI5OnqOPBNLWSHKh2a30DoXe8/edit?usp=sharing"",""พัทลุง!I62"")"),0)</f>
        <v>0</v>
      </c>
      <c r="J132" s="210">
        <f ca="1">IFERROR(__xludf.DUMMYFUNCTION("IMPORTRANGE(""https://docs.google.com/spreadsheets/d/1IYY_tgx_IHuhSq3AJ5eI5OnqOPBNLWSHKh2a30DoXe8/edit?usp=sharing"",""พัทลุง!J62"")"),0)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IFERROR(__xludf.DUMMYFUNCTION("IMPORTRANGE(""https://docs.google.com/spreadsheets/d/1IYY_tgx_IHuhSq3AJ5eI5OnqOPBNLWSHKh2a30DoXe8/edit?usp=sharing"",""พัทลุง!I63"")"),0)</f>
        <v>0</v>
      </c>
      <c r="J133" s="210">
        <f ca="1">IFERROR(__xludf.DUMMYFUNCTION("IMPORTRANGE(""https://docs.google.com/spreadsheets/d/1IYY_tgx_IHuhSq3AJ5eI5OnqOPBNLWSHKh2a30DoXe8/edit?usp=sharing"",""พัทลุง!J63"")"),0)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IFERROR(__xludf.DUMMYFUNCTION("IMPORTRANGE(""https://docs.google.com/spreadsheets/d/1IYY_tgx_IHuhSq3AJ5eI5OnqOPBNLWSHKh2a30DoXe8/edit?usp=sharing"",""พัทลุง!J64"")"),0)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IFERROR(__xludf.DUMMYFUNCTION("IMPORTRANGE(""https://docs.google.com/spreadsheets/d/1IYY_tgx_IHuhSq3AJ5eI5OnqOPBNLWSHKh2a30DoXe8/edit?usp=sharing"",""พัทลุง!J65"")"),0)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IFERROR(__xludf.DUMMYFUNCTION("IMPORTRANGE(""https://docs.google.com/spreadsheets/d/1IYY_tgx_IHuhSq3AJ5eI5OnqOPBNLWSHKh2a30DoXe8/edit?usp=sharing"",""พัทลุง!I68"")"),0)</f>
        <v>0</v>
      </c>
      <c r="J138" s="273">
        <f ca="1">IFERROR(__xludf.DUMMYFUNCTION("IMPORTRANGE(""https://docs.google.com/spreadsheets/d/1IYY_tgx_IHuhSq3AJ5eI5OnqOPBNLWSHKh2a30DoXe8/edit?usp=sharing"",""พัทลุง!J68"")"),0)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3">L141+L142</f>
        <v>73000</v>
      </c>
      <c r="M140" s="156">
        <f t="shared" ca="1" si="63"/>
        <v>141675</v>
      </c>
      <c r="N140" s="156">
        <f t="shared" ca="1" si="63"/>
        <v>36555</v>
      </c>
      <c r="O140" s="155">
        <f t="shared" ref="O140:O142" ca="1" si="64">IF(L140&gt;0,N140*100/L140,0)</f>
        <v>50.075342465753423</v>
      </c>
      <c r="P140" s="155">
        <f t="shared" ref="P140:P142" ca="1" si="65">IF(M140&gt;0,N140*100/M140,0)</f>
        <v>25.802011646373742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73000</v>
      </c>
      <c r="M142" s="161">
        <f t="shared" ca="1" si="67"/>
        <v>141675</v>
      </c>
      <c r="N142" s="161">
        <f t="shared" ca="1" si="67"/>
        <v>36555</v>
      </c>
      <c r="O142" s="160">
        <f t="shared" ca="1" si="64"/>
        <v>50.075342465753423</v>
      </c>
      <c r="P142" s="160">
        <f t="shared" ca="1" si="65"/>
        <v>25.802011646373742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73000</v>
      </c>
      <c r="M144" s="173">
        <f ca="1">IFERROR(__xludf.DUMMYFUNCTION("IMPORTRANGE(""https://docs.google.com/spreadsheets/d/1Yj_ptqi66GCucihVvJfMjLAmec39IyEx_6qawtMGysU/edit?usp=sharing"",""สบก!BJ88"")"),141675)</f>
        <v>141675</v>
      </c>
      <c r="N144" s="174">
        <f ca="1">IFERROR(__xludf.DUMMYFUNCTION("IMPORTRANGE(""https://docs.google.com/spreadsheets/d/1Yj_ptqi66GCucihVvJfMjLAmec39IyEx_6qawtMGysU/edit?usp=sharing"",""สบก!BK88"")"),36555)</f>
        <v>36555</v>
      </c>
      <c r="O144" s="175">
        <f ca="1">IF(L144&gt;0,N144*100/L144,0)</f>
        <v>50.075342465753423</v>
      </c>
      <c r="P144" s="175">
        <f ca="1">IF(M144&gt;0,N144*100/M144,0)</f>
        <v>25.802011646373742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IFERROR(__xludf.DUMMYFUNCTION("IMPORTRANGE(""https://docs.google.com/spreadsheets/d/1Yj_ptqi66GCucihVvJfMjLAmec39IyEx_6qawtMGysU/edit?usp=sharing"",""สบก!BF88"")"),0)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IFERROR(__xludf.DUMMYFUNCTION("IMPORTRANGE(""https://docs.google.com/spreadsheets/d/1Yj_ptqi66GCucihVvJfMjLAmec39IyEx_6qawtMGysU/edit?usp=sharing"",""สบก!BG88"")"),73000)</f>
        <v>73000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IFERROR(__xludf.DUMMYFUNCTION("IMPORTRANGE(""https://docs.google.com/spreadsheets/d/1IYY_tgx_IHuhSq3AJ5eI5OnqOPBNLWSHKh2a30DoXe8/edit?usp=sharing"",""พัทลุง!I74"")"),4)</f>
        <v>4</v>
      </c>
      <c r="J149" s="281">
        <f ca="1">IFERROR(__xludf.DUMMYFUNCTION("IMPORTRANGE(""https://docs.google.com/spreadsheets/d/1IYY_tgx_IHuhSq3AJ5eI5OnqOPBNLWSHKh2a30DoXe8/edit?usp=sharing"",""พัทลุง!J74"")"),3)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IFERROR(__xludf.DUMMYFUNCTION("IMPORTRANGE(""https://docs.google.com/spreadsheets/d/1IYY_tgx_IHuhSq3AJ5eI5OnqOPBNLWSHKh2a30DoXe8/edit?usp=sharing"",""พัทลุง!J79"")"),0)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IFERROR(__xludf.DUMMYFUNCTION("IMPORTRANGE(""https://docs.google.com/spreadsheets/d/1IYY_tgx_IHuhSq3AJ5eI5OnqOPBNLWSHKh2a30DoXe8/edit?usp=sharing"",""พัทลุง!J80"")"),1)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IFERROR(__xludf.DUMMYFUNCTION("IMPORTRANGE(""https://docs.google.com/spreadsheets/d/1IYY_tgx_IHuhSq3AJ5eI5OnqOPBNLWSHKh2a30DoXe8/edit?usp=sharing"",""พัทลุง!J81"")"),1)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IFERROR(__xludf.DUMMYFUNCTION("IMPORTRANGE(""https://docs.google.com/spreadsheets/d/1IYY_tgx_IHuhSq3AJ5eI5OnqOPBNLWSHKh2a30DoXe8/edit?usp=sharing"",""พัทลุง!J82"")"),1)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IFERROR(__xludf.DUMMYFUNCTION("IMPORTRANGE(""https://docs.google.com/spreadsheets/d/1IYY_tgx_IHuhSq3AJ5eI5OnqOPBNLWSHKh2a30DoXe8/edit?usp=sharing"",""พัทลุง!I83"")"),4)</f>
        <v>4</v>
      </c>
      <c r="J158" s="195">
        <f ca="1">IFERROR(__xludf.DUMMYFUNCTION("IMPORTRANGE(""https://docs.google.com/spreadsheets/d/1IYY_tgx_IHuhSq3AJ5eI5OnqOPBNLWSHKh2a30DoXe8/edit?usp=sharing"",""พัทลุง!J83"")"),3)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IFERROR(__xludf.DUMMYFUNCTION("IMPORTRANGE(""https://docs.google.com/spreadsheets/d/1IYY_tgx_IHuhSq3AJ5eI5OnqOPBNLWSHKh2a30DoXe8/edit?usp=sharing"",""พัทลุง!J84"")"),51)</f>
        <v>51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IFERROR(__xludf.DUMMYFUNCTION("IMPORTRANGE(""https://docs.google.com/spreadsheets/d/1IYY_tgx_IHuhSq3AJ5eI5OnqOPBNLWSHKh2a30DoXe8/edit?usp=sharing"",""พัทลุง!J85"")"),51)</f>
        <v>51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IFERROR(__xludf.DUMMYFUNCTION("IMPORTRANGE(""https://docs.google.com/spreadsheets/d/1IYY_tgx_IHuhSq3AJ5eI5OnqOPBNLWSHKh2a30DoXe8/edit?usp=sharing"",""พัทลุง!J87"")"),0)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IFERROR(__xludf.DUMMYFUNCTION("IMPORTRANGE(""https://docs.google.com/spreadsheets/d/1IYY_tgx_IHuhSq3AJ5eI5OnqOPBNLWSHKh2a30DoXe8/edit?usp=sharing"",""พัทลุง!J88"")"),0)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IFERROR(__xludf.DUMMYFUNCTION("IMPORTRANGE(""https://docs.google.com/spreadsheets/d/1IYY_tgx_IHuhSq3AJ5eI5OnqOPBNLWSHKh2a30DoXe8/edit?usp=sharing"",""พัทลุง!J94"")"),0)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IFERROR(__xludf.DUMMYFUNCTION("IMPORTRANGE(""https://docs.google.com/spreadsheets/d/1IYY_tgx_IHuhSq3AJ5eI5OnqOPBNLWSHKh2a30DoXe8/edit?usp=sharing"",""พัทลุง!J95"")"),1)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IFERROR(__xludf.DUMMYFUNCTION("IMPORTRANGE(""https://docs.google.com/spreadsheets/d/1IYY_tgx_IHuhSq3AJ5eI5OnqOPBNLWSHKh2a30DoXe8/edit?usp=sharing"",""พัทลุง!J96"")"),1)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IFERROR(__xludf.DUMMYFUNCTION("IMPORTRANGE(""https://docs.google.com/spreadsheets/d/1IYY_tgx_IHuhSq3AJ5eI5OnqOPBNLWSHKh2a30DoXe8/edit?usp=sharing"",""พัทลุง!J97"")"),1)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IFERROR(__xludf.DUMMYFUNCTION("IMPORTRANGE(""https://docs.google.com/spreadsheets/d/1IYY_tgx_IHuhSq3AJ5eI5OnqOPBNLWSHKh2a30DoXe8/edit?usp=sharing"",""พัทลุง!I98"")"),2)</f>
        <v>2</v>
      </c>
      <c r="J173" s="195">
        <f ca="1">IFERROR(__xludf.DUMMYFUNCTION("IMPORTRANGE(""https://docs.google.com/spreadsheets/d/1IYY_tgx_IHuhSq3AJ5eI5OnqOPBNLWSHKh2a30DoXe8/edit?usp=sharing"",""พัทลุง!J98"")"),2)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IFERROR(__xludf.DUMMYFUNCTION("IMPORTRANGE(""https://docs.google.com/spreadsheets/d/1IYY_tgx_IHuhSq3AJ5eI5OnqOPBNLWSHKh2a30DoXe8/edit?usp=sharing"",""พัทลุง!J99"")"),0)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IFERROR(__xludf.DUMMYFUNCTION("IMPORTRANGE(""https://docs.google.com/spreadsheets/d/1IYY_tgx_IHuhSq3AJ5eI5OnqOPBNLWSHKh2a30DoXe8/edit?usp=sharing"",""พัทลุง!J100"")"),0)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IFERROR(__xludf.DUMMYFUNCTION("IMPORTRANGE(""https://docs.google.com/spreadsheets/d/1IYY_tgx_IHuhSq3AJ5eI5OnqOPBNLWSHKh2a30DoXe8/edit?usp=sharing"",""พัทลุง!J106"")"),0)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IFERROR(__xludf.DUMMYFUNCTION("IMPORTRANGE(""https://docs.google.com/spreadsheets/d/1IYY_tgx_IHuhSq3AJ5eI5OnqOPBNLWSHKh2a30DoXe8/edit?usp=sharing"",""พัทลุง!J107"")"),0)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IFERROR(__xludf.DUMMYFUNCTION("IMPORTRANGE(""https://docs.google.com/spreadsheets/d/1IYY_tgx_IHuhSq3AJ5eI5OnqOPBNLWSHKh2a30DoXe8/edit?usp=sharing"",""พัทลุง!J108"")"),0)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IFERROR(__xludf.DUMMYFUNCTION("IMPORTRANGE(""https://docs.google.com/spreadsheets/d/1IYY_tgx_IHuhSq3AJ5eI5OnqOPBNLWSHKh2a30DoXe8/edit?usp=sharing"",""พัทลุง!J109"")"),0)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IFERROR(__xludf.DUMMYFUNCTION("IMPORTRANGE(""https://docs.google.com/spreadsheets/d/1IYY_tgx_IHuhSq3AJ5eI5OnqOPBNLWSHKh2a30DoXe8/edit?usp=sharing"",""พัทลุง!I110"")"),0)</f>
        <v>0</v>
      </c>
      <c r="J185" s="210">
        <f ca="1">IFERROR(__xludf.DUMMYFUNCTION("IMPORTRANGE(""https://docs.google.com/spreadsheets/d/1IYY_tgx_IHuhSq3AJ5eI5OnqOPBNLWSHKh2a30DoXe8/edit?usp=sharing"",""พัทลุง!J110"")"),0)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IFERROR(__xludf.DUMMYFUNCTION("IMPORTRANGE(""https://docs.google.com/spreadsheets/d/1IYY_tgx_IHuhSq3AJ5eI5OnqOPBNLWSHKh2a30DoXe8/edit?usp=sharing"",""พัทลุง!I111"")"),0)</f>
        <v>0</v>
      </c>
      <c r="J186" s="210">
        <f ca="1">IFERROR(__xludf.DUMMYFUNCTION("IMPORTRANGE(""https://docs.google.com/spreadsheets/d/1IYY_tgx_IHuhSq3AJ5eI5OnqOPBNLWSHKh2a30DoXe8/edit?usp=sharing"",""พัทลุง!J111"")"),0)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IFERROR(__xludf.DUMMYFUNCTION("IMPORTRANGE(""https://docs.google.com/spreadsheets/d/1IYY_tgx_IHuhSq3AJ5eI5OnqOPBNLWSHKh2a30DoXe8/edit?usp=sharing"",""พัทลุง!J112"")"),0)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IFERROR(__xludf.DUMMYFUNCTION("IMPORTRANGE(""https://docs.google.com/spreadsheets/d/1IYY_tgx_IHuhSq3AJ5eI5OnqOPBNLWSHKh2a30DoXe8/edit?usp=sharing"",""พัทลุง!J113"")"),0)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IFERROR(__xludf.DUMMYFUNCTION("IMPORTRANGE(""https://docs.google.com/spreadsheets/d/1IYY_tgx_IHuhSq3AJ5eI5OnqOPBNLWSHKh2a30DoXe8/edit?usp=sharing"",""พัทลุง!J119"")"),0)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IFERROR(__xludf.DUMMYFUNCTION("IMPORTRANGE(""https://docs.google.com/spreadsheets/d/1IYY_tgx_IHuhSq3AJ5eI5OnqOPBNLWSHKh2a30DoXe8/edit?usp=sharing"",""พัทลุง!J120"")"),1)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IFERROR(__xludf.DUMMYFUNCTION("IMPORTRANGE(""https://docs.google.com/spreadsheets/d/1IYY_tgx_IHuhSq3AJ5eI5OnqOPBNLWSHKh2a30DoXe8/edit?usp=sharing"",""พัทลุง!J121"")"),1)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IFERROR(__xludf.DUMMYFUNCTION("IMPORTRANGE(""https://docs.google.com/spreadsheets/d/1IYY_tgx_IHuhSq3AJ5eI5OnqOPBNLWSHKh2a30DoXe8/edit?usp=sharing"",""พัทลุง!J122"")"),1)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IFERROR(__xludf.DUMMYFUNCTION("IMPORTRANGE(""https://docs.google.com/spreadsheets/d/1IYY_tgx_IHuhSq3AJ5eI5OnqOPBNLWSHKh2a30DoXe8/edit?usp=sharing"",""พัทลุง!I124"")"),10000)</f>
        <v>10000</v>
      </c>
      <c r="J199" s="195">
        <f ca="1">IFERROR(__xludf.DUMMYFUNCTION("IMPORTRANGE(""https://docs.google.com/spreadsheets/d/1IYY_tgx_IHuhSq3AJ5eI5OnqOPBNLWSHKh2a30DoXe8/edit?usp=sharing"",""พัทลุง!J124"")"),10000)</f>
        <v>10000</v>
      </c>
      <c r="K199" s="167">
        <f t="shared" ref="K199:K201" ca="1" si="69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IFERROR(__xludf.DUMMYFUNCTION("IMPORTRANGE(""https://docs.google.com/spreadsheets/d/1IYY_tgx_IHuhSq3AJ5eI5OnqOPBNLWSHKh2a30DoXe8/edit?usp=sharing"",""พัทลุง!I125"")"),10000)</f>
        <v>10000</v>
      </c>
      <c r="J200" s="195">
        <f ca="1">IFERROR(__xludf.DUMMYFUNCTION("IMPORTRANGE(""https://docs.google.com/spreadsheets/d/1IYY_tgx_IHuhSq3AJ5eI5OnqOPBNLWSHKh2a30DoXe8/edit?usp=sharing"",""พัทลุง!J125"")"),10000)</f>
        <v>10000</v>
      </c>
      <c r="K200" s="167">
        <f t="shared" ca="1" si="69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IFERROR(__xludf.DUMMYFUNCTION("IMPORTRANGE(""https://docs.google.com/spreadsheets/d/1IYY_tgx_IHuhSq3AJ5eI5OnqOPBNLWSHKh2a30DoXe8/edit?usp=sharing"",""พัทลุง!I126"")"),0)</f>
        <v>0</v>
      </c>
      <c r="J201" s="195">
        <f ca="1">IFERROR(__xludf.DUMMYFUNCTION("IMPORTRANGE(""https://docs.google.com/spreadsheets/d/1IYY_tgx_IHuhSq3AJ5eI5OnqOPBNLWSHKh2a30DoXe8/edit?usp=sharing"",""พัทลุง!J126"")"),0)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IFERROR(__xludf.DUMMYFUNCTION("IMPORTRANGE(""https://docs.google.com/spreadsheets/d/1IYY_tgx_IHuhSq3AJ5eI5OnqOPBNLWSHKh2a30DoXe8/edit?usp=sharing"",""พัทลุง!J127"")"),0)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IFERROR(__xludf.DUMMYFUNCTION("IMPORTRANGE(""https://docs.google.com/spreadsheets/d/1IYY_tgx_IHuhSq3AJ5eI5OnqOPBNLWSHKh2a30DoXe8/edit?usp=sharing"",""พัทลุง!J128"")"),0)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IFERROR(__xludf.DUMMYFUNCTION("IMPORTRANGE(""https://docs.google.com/spreadsheets/d/1IYY_tgx_IHuhSq3AJ5eI5OnqOPBNLWSHKh2a30DoXe8/edit?usp=sharing"",""พัทลุง!J134"")"),0)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IFERROR(__xludf.DUMMYFUNCTION("IMPORTRANGE(""https://docs.google.com/spreadsheets/d/1IYY_tgx_IHuhSq3AJ5eI5OnqOPBNLWSHKh2a30DoXe8/edit?usp=sharing"",""พัทลุง!J135"")"),0)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IFERROR(__xludf.DUMMYFUNCTION("IMPORTRANGE(""https://docs.google.com/spreadsheets/d/1IYY_tgx_IHuhSq3AJ5eI5OnqOPBNLWSHKh2a30DoXe8/edit?usp=sharing"",""พัทลุง!J136"")"),0)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IFERROR(__xludf.DUMMYFUNCTION("IMPORTRANGE(""https://docs.google.com/spreadsheets/d/1IYY_tgx_IHuhSq3AJ5eI5OnqOPBNLWSHKh2a30DoXe8/edit?usp=sharing"",""พัทลุง!J137"")"),0)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IFERROR(__xludf.DUMMYFUNCTION("IMPORTRANGE(""https://docs.google.com/spreadsheets/d/1IYY_tgx_IHuhSq3AJ5eI5OnqOPBNLWSHKh2a30DoXe8/edit?usp=sharing"",""พัทลุง!I138"")"),0)</f>
        <v>0</v>
      </c>
      <c r="J213" s="210">
        <f ca="1">IFERROR(__xludf.DUMMYFUNCTION("IMPORTRANGE(""https://docs.google.com/spreadsheets/d/1IYY_tgx_IHuhSq3AJ5eI5OnqOPBNLWSHKh2a30DoXe8/edit?usp=sharing"",""พัทลุง!J138"")"),0)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IFERROR(__xludf.DUMMYFUNCTION("IMPORTRANGE(""https://docs.google.com/spreadsheets/d/1IYY_tgx_IHuhSq3AJ5eI5OnqOPBNLWSHKh2a30DoXe8/edit?usp=sharing"",""พัทลุง!I140"")"),0)</f>
        <v>0</v>
      </c>
      <c r="J215" s="210">
        <f ca="1">IFERROR(__xludf.DUMMYFUNCTION("IMPORTRANGE(""https://docs.google.com/spreadsheets/d/1IYY_tgx_IHuhSq3AJ5eI5OnqOPBNLWSHKh2a30DoXe8/edit?usp=sharing"",""พัทลุง!J140"")"),0)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IFERROR(__xludf.DUMMYFUNCTION("IMPORTRANGE(""https://docs.google.com/spreadsheets/d/1IYY_tgx_IHuhSq3AJ5eI5OnqOPBNLWSHKh2a30DoXe8/edit?usp=sharing"",""พัทลุง!I141"")"),0)</f>
        <v>0</v>
      </c>
      <c r="J216" s="210">
        <f ca="1">IFERROR(__xludf.DUMMYFUNCTION("IMPORTRANGE(""https://docs.google.com/spreadsheets/d/1IYY_tgx_IHuhSq3AJ5eI5OnqOPBNLWSHKh2a30DoXe8/edit?usp=sharing"",""พัทลุง!J141"")"),0)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IFERROR(__xludf.DUMMYFUNCTION("IMPORTRANGE(""https://docs.google.com/spreadsheets/d/1IYY_tgx_IHuhSq3AJ5eI5OnqOPBNLWSHKh2a30DoXe8/edit?usp=sharing"",""พัทลุง!J142"")"),0)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IFERROR(__xludf.DUMMYFUNCTION("IMPORTRANGE(""https://docs.google.com/spreadsheets/d/1IYY_tgx_IHuhSq3AJ5eI5OnqOPBNLWSHKh2a30DoXe8/edit?usp=sharing"",""พัทลุง!J143"")"),0)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IFERROR(__xludf.DUMMYFUNCTION("IMPORTRANGE(""https://docs.google.com/spreadsheets/d/1IYY_tgx_IHuhSq3AJ5eI5OnqOPBNLWSHKh2a30DoXe8/edit?usp=sharing"",""พัทลุง!I144"")"),13)</f>
        <v>13</v>
      </c>
      <c r="J219" s="273">
        <f ca="1">IFERROR(__xludf.DUMMYFUNCTION("IMPORTRANGE(""https://docs.google.com/spreadsheets/d/1IYY_tgx_IHuhSq3AJ5eI5OnqOPBNLWSHKh2a30DoXe8/edit?usp=sharing"",""พัทลุง!J144"")"),13)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1">L221+L222</f>
        <v>19295</v>
      </c>
      <c r="M220" s="156">
        <f t="shared" ca="1" si="71"/>
        <v>19295</v>
      </c>
      <c r="N220" s="156">
        <f t="shared" ca="1" si="71"/>
        <v>19295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19295</v>
      </c>
      <c r="M222" s="161">
        <f t="shared" ca="1" si="75"/>
        <v>19295</v>
      </c>
      <c r="N222" s="161">
        <f t="shared" ca="1" si="75"/>
        <v>19295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IFERROR(__xludf.DUMMYFUNCTION("IMPORTRANGE(""https://docs.google.com/spreadsheets/d/1Yj_ptqi66GCucihVvJfMjLAmec39IyEx_6qawtMGysU/edit?usp=sharing"",""สบก!BS88"")"),19295)</f>
        <v>19295</v>
      </c>
      <c r="N224" s="174">
        <f ca="1">IFERROR(__xludf.DUMMYFUNCTION("IMPORTRANGE(""https://docs.google.com/spreadsheets/d/1Yj_ptqi66GCucihVvJfMjLAmec39IyEx_6qawtMGysU/edit?usp=sharing"",""สบก!BT88"")"),19295)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IFERROR(__xludf.DUMMYFUNCTION("IMPORTRANGE(""https://docs.google.com/spreadsheets/d/1Yj_ptqi66GCucihVvJfMjLAmec39IyEx_6qawtMGysU/edit?usp=sharing"",""สบก!BO88"")"),0)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IFERROR(__xludf.DUMMYFUNCTION("IMPORTRANGE(""https://docs.google.com/spreadsheets/d/1Yj_ptqi66GCucihVvJfMjLAmec39IyEx_6qawtMGysU/edit?usp=sharing"",""สบก!BP88"")"),19295)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IFERROR(__xludf.DUMMYFUNCTION("IMPORTRANGE(""https://docs.google.com/spreadsheets/d/1IYY_tgx_IHuhSq3AJ5eI5OnqOPBNLWSHKh2a30DoXe8/edit?usp=sharing"",""พัทลุง!I149"")"),13)</f>
        <v>13</v>
      </c>
      <c r="J229" s="273">
        <f ca="1">IFERROR(__xludf.DUMMYFUNCTION("IMPORTRANGE(""https://docs.google.com/spreadsheets/d/1IYY_tgx_IHuhSq3AJ5eI5OnqOPBNLWSHKh2a30DoXe8/edit?usp=sharing"",""พัทลุง!J149"")"),13)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IFERROR(__xludf.DUMMYFUNCTION("IMPORTRANGE(""https://docs.google.com/spreadsheets/d/1IYY_tgx_IHuhSq3AJ5eI5OnqOPBNLWSHKh2a30DoXe8/edit?usp=sharing"",""พัทลุง!J151"")"),0)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IFERROR(__xludf.DUMMYFUNCTION("IMPORTRANGE(""https://docs.google.com/spreadsheets/d/1IYY_tgx_IHuhSq3AJ5eI5OnqOPBNLWSHKh2a30DoXe8/edit?usp=sharing"",""พัทลุง!J152"")"),1)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IFERROR(__xludf.DUMMYFUNCTION("IMPORTRANGE(""https://docs.google.com/spreadsheets/d/1IYY_tgx_IHuhSq3AJ5eI5OnqOPBNLWSHKh2a30DoXe8/edit?usp=sharing"",""พัทลุง!J153"")"),1)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IFERROR(__xludf.DUMMYFUNCTION("IMPORTRANGE(""https://docs.google.com/spreadsheets/d/1IYY_tgx_IHuhSq3AJ5eI5OnqOPBNLWSHKh2a30DoXe8/edit?usp=sharing"",""พัทลุง!J154"")"),1)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IFERROR(__xludf.DUMMYFUNCTION("IMPORTRANGE(""https://docs.google.com/spreadsheets/d/1IYY_tgx_IHuhSq3AJ5eI5OnqOPBNLWSHKh2a30DoXe8/edit?usp=sharing"",""พัทลุง!I155"")"),13)</f>
        <v>13</v>
      </c>
      <c r="J235" s="195">
        <f ca="1">IFERROR(__xludf.DUMMYFUNCTION("IMPORTRANGE(""https://docs.google.com/spreadsheets/d/1IYY_tgx_IHuhSq3AJ5eI5OnqOPBNLWSHKh2a30DoXe8/edit?usp=sharing"",""พัทลุง!J155"")"),13)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IFERROR(__xludf.DUMMYFUNCTION("IMPORTRANGE(""https://docs.google.com/spreadsheets/d/1IYY_tgx_IHuhSq3AJ5eI5OnqOPBNLWSHKh2a30DoXe8/edit?usp=sharing"",""พัทลุง!J156"")"),1)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IFERROR(__xludf.DUMMYFUNCTION("IMPORTRANGE(""https://docs.google.com/spreadsheets/d/1IYY_tgx_IHuhSq3AJ5eI5OnqOPBNLWSHKh2a30DoXe8/edit?usp=sharing"",""พัทลุง!J157"")"),1)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IFERROR(__xludf.DUMMYFUNCTION("IMPORTRANGE(""https://docs.google.com/spreadsheets/d/1IYY_tgx_IHuhSq3AJ5eI5OnqOPBNLWSHKh2a30DoXe8/edit?usp=sharing"",""พัทลุง!I158"")"),0)</f>
        <v>0</v>
      </c>
      <c r="J238" s="273">
        <f ca="1">IFERROR(__xludf.DUMMYFUNCTION("IMPORTRANGE(""https://docs.google.com/spreadsheets/d/1IYY_tgx_IHuhSq3AJ5eI5OnqOPBNLWSHKh2a30DoXe8/edit?usp=sharing"",""พัทลุง!J158"")"),0)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IFERROR(__xludf.DUMMYFUNCTION("IMPORTRANGE(""https://docs.google.com/spreadsheets/d/1IYY_tgx_IHuhSq3AJ5eI5OnqOPBNLWSHKh2a30DoXe8/edit?usp=sharing"",""พัทลุง!J159"")"),"")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IFERROR(__xludf.DUMMYFUNCTION("IMPORTRANGE(""https://docs.google.com/spreadsheets/d/1IYY_tgx_IHuhSq3AJ5eI5OnqOPBNLWSHKh2a30DoXe8/edit?usp=sharing"",""พัทลุง!J161"")"),0)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IFERROR(__xludf.DUMMYFUNCTION("IMPORTRANGE(""https://docs.google.com/spreadsheets/d/1IYY_tgx_IHuhSq3AJ5eI5OnqOPBNLWSHKh2a30DoXe8/edit?usp=sharing"",""พัทลุง!J162"")"),0)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IFERROR(__xludf.DUMMYFUNCTION("IMPORTRANGE(""https://docs.google.com/spreadsheets/d/1IYY_tgx_IHuhSq3AJ5eI5OnqOPBNLWSHKh2a30DoXe8/edit?usp=sharing"",""พัทลุง!J163"")"),0)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IFERROR(__xludf.DUMMYFUNCTION("IMPORTRANGE(""https://docs.google.com/spreadsheets/d/1IYY_tgx_IHuhSq3AJ5eI5OnqOPBNLWSHKh2a30DoXe8/edit?usp=sharing"",""พัทลุง!I164"")"),0)</f>
        <v>0</v>
      </c>
      <c r="J244" s="194">
        <f ca="1">IFERROR(__xludf.DUMMYFUNCTION("IMPORTRANGE(""https://docs.google.com/spreadsheets/d/1IYY_tgx_IHuhSq3AJ5eI5OnqOPBNLWSHKh2a30DoXe8/edit?usp=sharing"",""พัทลุง!J164"")"),0)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IFERROR(__xludf.DUMMYFUNCTION("IMPORTRANGE(""https://docs.google.com/spreadsheets/d/1IYY_tgx_IHuhSq3AJ5eI5OnqOPBNLWSHKh2a30DoXe8/edit?usp=sharing"",""พัทลุง!J165"")"),0)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6">L251+L252</f>
        <v>203400</v>
      </c>
      <c r="M250" s="156">
        <f t="shared" ca="1" si="76"/>
        <v>203400</v>
      </c>
      <c r="N250" s="156">
        <f t="shared" ca="1" si="76"/>
        <v>160785.60000000001</v>
      </c>
      <c r="O250" s="155">
        <f t="shared" ref="O250:O252" ca="1" si="77">IF(L250&gt;0,N250*100/L250,0)</f>
        <v>79.048967551622425</v>
      </c>
      <c r="P250" s="155">
        <f t="shared" ref="P250:P252" ca="1" si="78">IF(M250&gt;0,N250*100/M250,0)</f>
        <v>79.048967551622425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203400</v>
      </c>
      <c r="M252" s="161">
        <f t="shared" ca="1" si="80"/>
        <v>203400</v>
      </c>
      <c r="N252" s="161">
        <f t="shared" ca="1" si="80"/>
        <v>160785.60000000001</v>
      </c>
      <c r="O252" s="160">
        <f t="shared" ca="1" si="77"/>
        <v>79.048967551622425</v>
      </c>
      <c r="P252" s="160">
        <f t="shared" ca="1" si="78"/>
        <v>79.048967551622425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203400</v>
      </c>
      <c r="M254" s="173">
        <f ca="1">IFERROR(__xludf.DUMMYFUNCTION("IMPORTRANGE(""https://docs.google.com/spreadsheets/d/1Yj_ptqi66GCucihVvJfMjLAmec39IyEx_6qawtMGysU/edit?usp=sharing"",""สบก!CB88"")"),203400)</f>
        <v>203400</v>
      </c>
      <c r="N254" s="174">
        <f ca="1">IFERROR(__xludf.DUMMYFUNCTION("IMPORTRANGE(""https://docs.google.com/spreadsheets/d/1Yj_ptqi66GCucihVvJfMjLAmec39IyEx_6qawtMGysU/edit?usp=sharing"",""สบก!CC88"")"),160785.6)</f>
        <v>160785.60000000001</v>
      </c>
      <c r="O254" s="175">
        <f ca="1">IF(L254&gt;0,N254*100/L254,0)</f>
        <v>79.048967551622425</v>
      </c>
      <c r="P254" s="175">
        <f ca="1">IF(M254&gt;0,N254*100/M254,0)</f>
        <v>79.048967551622425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IFERROR(__xludf.DUMMYFUNCTION("IMPORTRANGE(""https://docs.google.com/spreadsheets/d/1Yj_ptqi66GCucihVvJfMjLAmec39IyEx_6qawtMGysU/edit?usp=sharing"",""สบก!BX88"")"),132000)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IFERROR(__xludf.DUMMYFUNCTION("IMPORTRANGE(""https://docs.google.com/spreadsheets/d/1Yj_ptqi66GCucihVvJfMjLAmec39IyEx_6qawtMGysU/edit?usp=sharing"",""สบก!BY88"")"),71400)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IFERROR(__xludf.DUMMYFUNCTION("IMPORTRANGE(""https://docs.google.com/spreadsheets/d/1IYY_tgx_IHuhSq3AJ5eI5OnqOPBNLWSHKh2a30DoXe8/edit?usp=sharing"",""พัทลุง!J175"")"),0)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IFERROR(__xludf.DUMMYFUNCTION("IMPORTRANGE(""https://docs.google.com/spreadsheets/d/1IYY_tgx_IHuhSq3AJ5eI5OnqOPBNLWSHKh2a30DoXe8/edit?usp=sharing"",""พัทลุง!J176"")"),1)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IFERROR(__xludf.DUMMYFUNCTION("IMPORTRANGE(""https://docs.google.com/spreadsheets/d/1IYY_tgx_IHuhSq3AJ5eI5OnqOPBNLWSHKh2a30DoXe8/edit?usp=sharing"",""พัทลุง!J177"")"),1)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IFERROR(__xludf.DUMMYFUNCTION("IMPORTRANGE(""https://docs.google.com/spreadsheets/d/1IYY_tgx_IHuhSq3AJ5eI5OnqOPBNLWSHKh2a30DoXe8/edit?usp=sharing"",""พัทลุง!J178"")"),1)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IFERROR(__xludf.DUMMYFUNCTION("IMPORTRANGE(""https://docs.google.com/spreadsheets/d/1IYY_tgx_IHuhSq3AJ5eI5OnqOPBNLWSHKh2a30DoXe8/edit?usp=sharing"",""พัทลุง!I179"")"),1)</f>
        <v>1</v>
      </c>
      <c r="J264" s="195">
        <f ca="1">IFERROR(__xludf.DUMMYFUNCTION("IMPORTRANGE(""https://docs.google.com/spreadsheets/d/1IYY_tgx_IHuhSq3AJ5eI5OnqOPBNLWSHKh2a30DoXe8/edit?usp=sharing"",""พัทลุง!J179"")"),1)</f>
        <v>1</v>
      </c>
      <c r="K264" s="167">
        <f t="shared" ref="K264:K267" ca="1" si="8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IFERROR(__xludf.DUMMYFUNCTION("IMPORTRANGE(""https://docs.google.com/spreadsheets/d/1IYY_tgx_IHuhSq3AJ5eI5OnqOPBNLWSHKh2a30DoXe8/edit?usp=sharing"",""พัทลุง!I180"")"),20)</f>
        <v>20</v>
      </c>
      <c r="J265" s="195">
        <f ca="1">IFERROR(__xludf.DUMMYFUNCTION("IMPORTRANGE(""https://docs.google.com/spreadsheets/d/1IYY_tgx_IHuhSq3AJ5eI5OnqOPBNLWSHKh2a30DoXe8/edit?usp=sharing"",""พัทลุง!J180"")"),20)</f>
        <v>20</v>
      </c>
      <c r="K265" s="167">
        <f t="shared" ca="1" si="81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IFERROR(__xludf.DUMMYFUNCTION("IMPORTRANGE(""https://docs.google.com/spreadsheets/d/1IYY_tgx_IHuhSq3AJ5eI5OnqOPBNLWSHKh2a30DoXe8/edit?usp=sharing"",""พัทลุง!I181"")"),20)</f>
        <v>20</v>
      </c>
      <c r="J266" s="195">
        <f ca="1">IFERROR(__xludf.DUMMYFUNCTION("IMPORTRANGE(""https://docs.google.com/spreadsheets/d/1IYY_tgx_IHuhSq3AJ5eI5OnqOPBNLWSHKh2a30DoXe8/edit?usp=sharing"",""พัทลุง!J181"")"),20)</f>
        <v>20</v>
      </c>
      <c r="K266" s="167">
        <f t="shared" ca="1" si="81"/>
        <v>100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IFERROR(__xludf.DUMMYFUNCTION("IMPORTRANGE(""https://docs.google.com/spreadsheets/d/1IYY_tgx_IHuhSq3AJ5eI5OnqOPBNLWSHKh2a30DoXe8/edit?usp=sharing"",""พัทลุง!I182"")"),1)</f>
        <v>1</v>
      </c>
      <c r="J267" s="195">
        <f ca="1">IFERROR(__xludf.DUMMYFUNCTION("IMPORTRANGE(""https://docs.google.com/spreadsheets/d/1IYY_tgx_IHuhSq3AJ5eI5OnqOPBNLWSHKh2a30DoXe8/edit?usp=sharing"",""พัทลุง!J182"")"),1)</f>
        <v>1</v>
      </c>
      <c r="K267" s="167">
        <f t="shared" ca="1" si="81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IFERROR(__xludf.DUMMYFUNCTION("IMPORTRANGE(""https://docs.google.com/spreadsheets/d/1IYY_tgx_IHuhSq3AJ5eI5OnqOPBNLWSHKh2a30DoXe8/edit?usp=sharing"",""พัทลุง!J183"")"),0)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IFERROR(__xludf.DUMMYFUNCTION("IMPORTRANGE(""https://docs.google.com/spreadsheets/d/1IYY_tgx_IHuhSq3AJ5eI5OnqOPBNLWSHKh2a30DoXe8/edit?usp=sharing"",""พัทลุง!J184"")"),0)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IFERROR(__xludf.DUMMYFUNCTION("IMPORTRANGE(""https://docs.google.com/spreadsheets/d/1Yj_ptqi66GCucihVvJfMjLAmec39IyEx_6qawtMGysU/edit?usp=sharing"",""สบก!CK88"")"),0)</f>
        <v>0</v>
      </c>
      <c r="N275" s="174">
        <f ca="1">IFERROR(__xludf.DUMMYFUNCTION("IMPORTRANGE(""https://docs.google.com/spreadsheets/d/1Yj_ptqi66GCucihVvJfMjLAmec39IyEx_6qawtMGysU/edit?usp=sharing"",""สบก!CL88"")"),0)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IFERROR(__xludf.DUMMYFUNCTION("IMPORTRANGE(""https://docs.google.com/spreadsheets/d/1Yj_ptqi66GCucihVvJfMjLAmec39IyEx_6qawtMGysU/edit?usp=sharing"",""สบก!CG88"")"),0)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IFERROR(__xludf.DUMMYFUNCTION("IMPORTRANGE(""https://docs.google.com/spreadsheets/d/1Yj_ptqi66GCucihVvJfMjLAmec39IyEx_6qawtMGysU/edit?usp=sharing"",""สบก!CH88"")"),0)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IFERROR(__xludf.DUMMYFUNCTION("IMPORTRANGE(""https://docs.google.com/spreadsheets/d/1IYY_tgx_IHuhSq3AJ5eI5OnqOPBNLWSHKh2a30DoXe8/edit?usp=sharing"",""พัทลุง!J191"")"),0)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IFERROR(__xludf.DUMMYFUNCTION("IMPORTRANGE(""https://docs.google.com/spreadsheets/d/1IYY_tgx_IHuhSq3AJ5eI5OnqOPBNLWSHKh2a30DoXe8/edit?usp=sharing"",""พัทลุง!J192"")"),0)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IFERROR(__xludf.DUMMYFUNCTION("IMPORTRANGE(""https://docs.google.com/spreadsheets/d/1IYY_tgx_IHuhSq3AJ5eI5OnqOPBNLWSHKh2a30DoXe8/edit?usp=sharing"",""พัทลุง!J193"")"),0)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IFERROR(__xludf.DUMMYFUNCTION("IMPORTRANGE(""https://docs.google.com/spreadsheets/d/1IYY_tgx_IHuhSq3AJ5eI5OnqOPBNLWSHKh2a30DoXe8/edit?usp=sharing"",""พัทลุง!J194"")"),0)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IFERROR(__xludf.DUMMYFUNCTION("IMPORTRANGE(""https://docs.google.com/spreadsheets/d/1IYY_tgx_IHuhSq3AJ5eI5OnqOPBNLWSHKh2a30DoXe8/edit?usp=sharing"",""พัทลุง!I195"")"),0)</f>
        <v>0</v>
      </c>
      <c r="J285" s="195">
        <f ca="1">IFERROR(__xludf.DUMMYFUNCTION("IMPORTRANGE(""https://docs.google.com/spreadsheets/d/1IYY_tgx_IHuhSq3AJ5eI5OnqOPBNLWSHKh2a30DoXe8/edit?usp=sharing"",""พัทลุง!J195"")"),0)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IFERROR(__xludf.DUMMYFUNCTION("IMPORTRANGE(""https://docs.google.com/spreadsheets/d/1IYY_tgx_IHuhSq3AJ5eI5OnqOPBNLWSHKh2a30DoXe8/edit?usp=sharing"",""พัทลุง!J196"")"),0)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IFERROR(__xludf.DUMMYFUNCTION("IMPORTRANGE(""https://docs.google.com/spreadsheets/d/1IYY_tgx_IHuhSq3AJ5eI5OnqOPBNLWSHKh2a30DoXe8/edit?usp=sharing"",""พัทลุง!J197"")"),0)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IFERROR(__xludf.DUMMYFUNCTION("IMPORTRANGE(""https://docs.google.com/spreadsheets/d/1Yj_ptqi66GCucihVvJfMjLAmec39IyEx_6qawtMGysU/edit?usp=sharing"",""สบก!CT88"")"),0)</f>
        <v>0</v>
      </c>
      <c r="N294" s="174">
        <f ca="1">IFERROR(__xludf.DUMMYFUNCTION("IMPORTRANGE(""https://docs.google.com/spreadsheets/d/1Yj_ptqi66GCucihVvJfMjLAmec39IyEx_6qawtMGysU/edit?usp=sharing"",""สบก!CU88"")"),0)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IFERROR(__xludf.DUMMYFUNCTION("IMPORTRANGE(""https://docs.google.com/spreadsheets/d/1Yj_ptqi66GCucihVvJfMjLAmec39IyEx_6qawtMGysU/edit?usp=sharing"",""สบก!CP88"")"),0)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IFERROR(__xludf.DUMMYFUNCTION("IMPORTRANGE(""https://docs.google.com/spreadsheets/d/1Yj_ptqi66GCucihVvJfMjLAmec39IyEx_6qawtMGysU/edit?usp=sharing"",""สบก!CQ88"")"),0)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IFERROR(__xludf.DUMMYFUNCTION("IMPORTRANGE(""https://docs.google.com/spreadsheets/d/1IYY_tgx_IHuhSq3AJ5eI5OnqOPBNLWSHKh2a30DoXe8/edit?usp=sharing"",""พัทลุง!J205"")"),0)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IFERROR(__xludf.DUMMYFUNCTION("IMPORTRANGE(""https://docs.google.com/spreadsheets/d/1IYY_tgx_IHuhSq3AJ5eI5OnqOPBNLWSHKh2a30DoXe8/edit?usp=sharing"",""พัทลุง!J206"")"),0)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IFERROR(__xludf.DUMMYFUNCTION("IMPORTRANGE(""https://docs.google.com/spreadsheets/d/1IYY_tgx_IHuhSq3AJ5eI5OnqOPBNLWSHKh2a30DoXe8/edit?usp=sharing"",""พัทลุง!J207"")"),0)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IFERROR(__xludf.DUMMYFUNCTION("IMPORTRANGE(""https://docs.google.com/spreadsheets/d/1IYY_tgx_IHuhSq3AJ5eI5OnqOPBNLWSHKh2a30DoXe8/edit?usp=sharing"",""พัทลุง!J208"")"),0)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IFERROR(__xludf.DUMMYFUNCTION("IMPORTRANGE(""https://docs.google.com/spreadsheets/d/1IYY_tgx_IHuhSq3AJ5eI5OnqOPBNLWSHKh2a30DoXe8/edit?usp=sharing"",""พัทลุง!I209"")"),0)</f>
        <v>0</v>
      </c>
      <c r="J304" s="210">
        <f ca="1">IFERROR(__xludf.DUMMYFUNCTION("IMPORTRANGE(""https://docs.google.com/spreadsheets/d/1IYY_tgx_IHuhSq3AJ5eI5OnqOPBNLWSHKh2a30DoXe8/edit?usp=sharing"",""พัทลุง!J209"")"),0)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IFERROR(__xludf.DUMMYFUNCTION("IMPORTRANGE(""https://docs.google.com/spreadsheets/d/1IYY_tgx_IHuhSq3AJ5eI5OnqOPBNLWSHKh2a30DoXe8/edit?usp=sharing"",""พัทลุง!I211"")"),0)</f>
        <v>0</v>
      </c>
      <c r="J306" s="210">
        <f ca="1">IFERROR(__xludf.DUMMYFUNCTION("IMPORTRANGE(""https://docs.google.com/spreadsheets/d/1IYY_tgx_IHuhSq3AJ5eI5OnqOPBNLWSHKh2a30DoXe8/edit?usp=sharing"",""พัทลุง!J211"")"),0)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IFERROR(__xludf.DUMMYFUNCTION("IMPORTRANGE(""https://docs.google.com/spreadsheets/d/1IYY_tgx_IHuhSq3AJ5eI5OnqOPBNLWSHKh2a30DoXe8/edit?usp=sharing"",""พัทลุง!J212"")"),0)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IFERROR(__xludf.DUMMYFUNCTION("IMPORTRANGE(""https://docs.google.com/spreadsheets/d/1Yj_ptqi66GCucihVvJfMjLAmec39IyEx_6qawtMGysU/edit?usp=sharing"",""สบก!DC88"")"),0)</f>
        <v>0</v>
      </c>
      <c r="N314" s="174">
        <f ca="1">IFERROR(__xludf.DUMMYFUNCTION("IMPORTRANGE(""https://docs.google.com/spreadsheets/d/1Yj_ptqi66GCucihVvJfMjLAmec39IyEx_6qawtMGysU/edit?usp=sharing"",""สบก!DD88"")"),0)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IFERROR(__xludf.DUMMYFUNCTION("IMPORTRANGE(""https://docs.google.com/spreadsheets/d/1Yj_ptqi66GCucihVvJfMjLAmec39IyEx_6qawtMGysU/edit?usp=sharing"",""สบก!CY88"")"),0)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IFERROR(__xludf.DUMMYFUNCTION("IMPORTRANGE(""https://docs.google.com/spreadsheets/d/1Yj_ptqi66GCucihVvJfMjLAmec39IyEx_6qawtMGysU/edit?usp=sharing"",""สบก!CZ88"")"),0)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IFERROR(__xludf.DUMMYFUNCTION("IMPORTRANGE(""https://docs.google.com/spreadsheets/d/1IYY_tgx_IHuhSq3AJ5eI5OnqOPBNLWSHKh2a30DoXe8/edit?usp=sharing"",""พัทลุง!J220"")"),0)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IFERROR(__xludf.DUMMYFUNCTION("IMPORTRANGE(""https://docs.google.com/spreadsheets/d/1IYY_tgx_IHuhSq3AJ5eI5OnqOPBNLWSHKh2a30DoXe8/edit?usp=sharing"",""พัทลุง!J221"")"),0)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IFERROR(__xludf.DUMMYFUNCTION("IMPORTRANGE(""https://docs.google.com/spreadsheets/d/1IYY_tgx_IHuhSq3AJ5eI5OnqOPBNLWSHKh2a30DoXe8/edit?usp=sharing"",""พัทลุง!J222"")"),0)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IFERROR(__xludf.DUMMYFUNCTION("IMPORTRANGE(""https://docs.google.com/spreadsheets/d/1IYY_tgx_IHuhSq3AJ5eI5OnqOPBNLWSHKh2a30DoXe8/edit?usp=sharing"",""พัทลุง!J223"")"),0)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IFERROR(__xludf.DUMMYFUNCTION("IMPORTRANGE(""https://docs.google.com/spreadsheets/d/1IYY_tgx_IHuhSq3AJ5eI5OnqOPBNLWSHKh2a30DoXe8/edit?usp=sharing"",""พัทลุง!I224"")"),0)</f>
        <v>0</v>
      </c>
      <c r="J324" s="210">
        <f ca="1">IFERROR(__xludf.DUMMYFUNCTION("IMPORTRANGE(""https://docs.google.com/spreadsheets/d/1IYY_tgx_IHuhSq3AJ5eI5OnqOPBNLWSHKh2a30DoXe8/edit?usp=sharing"",""พัทลุง!J224"")"),0)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IFERROR(__xludf.DUMMYFUNCTION("IMPORTRANGE(""https://docs.google.com/spreadsheets/d/1IYY_tgx_IHuhSq3AJ5eI5OnqOPBNLWSHKh2a30DoXe8/edit?usp=sharing"",""พัทลุง!J225"")"),0)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IFERROR(__xludf.DUMMYFUNCTION("IMPORTRANGE(""https://docs.google.com/spreadsheets/d/1IYY_tgx_IHuhSq3AJ5eI5OnqOPBNLWSHKh2a30DoXe8/edit?usp=sharing"",""พัทลุง!J226"")"),0)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IFERROR(__xludf.DUMMYFUNCTION("IMPORTRANGE(""https://docs.google.com/spreadsheets/d/1IYY_tgx_IHuhSq3AJ5eI5OnqOPBNLWSHKh2a30DoXe8/edit?usp=sharing"",""พัทลุง!I228"")"),270)</f>
        <v>270</v>
      </c>
      <c r="J328" s="345">
        <f ca="1">IFERROR(__xludf.DUMMYFUNCTION("IMPORTRANGE(""https://docs.google.com/spreadsheets/d/1IYY_tgx_IHuhSq3AJ5eI5OnqOPBNLWSHKh2a30DoXe8/edit?usp=sharing"",""พัทลุง!J228"")"),230)</f>
        <v>230</v>
      </c>
      <c r="K328" s="323">
        <f ca="1">IF(I328&gt;0,J328*100/I328,0)</f>
        <v>85.18518518518519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7">L330+L331</f>
        <v>745120</v>
      </c>
      <c r="M329" s="156">
        <f t="shared" ca="1" si="97"/>
        <v>784260</v>
      </c>
      <c r="N329" s="156">
        <f t="shared" ca="1" si="97"/>
        <v>665002.48</v>
      </c>
      <c r="O329" s="155">
        <f t="shared" ref="O329:O331" ca="1" si="98">IF(L329&gt;0,N329*100/L329,0)</f>
        <v>89.247702383508695</v>
      </c>
      <c r="P329" s="155">
        <f t="shared" ref="P329:P331" ca="1" si="99">IF(M329&gt;0,N329*100/M329,0)</f>
        <v>84.793624563282592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745120</v>
      </c>
      <c r="M331" s="161">
        <f t="shared" ca="1" si="101"/>
        <v>784260</v>
      </c>
      <c r="N331" s="161">
        <f t="shared" ca="1" si="101"/>
        <v>665002.48</v>
      </c>
      <c r="O331" s="160">
        <f t="shared" ca="1" si="98"/>
        <v>89.247702383508695</v>
      </c>
      <c r="P331" s="160">
        <f t="shared" ca="1" si="99"/>
        <v>84.793624563282592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598120</v>
      </c>
      <c r="M333" s="173">
        <f ca="1">IFERROR(__xludf.DUMMYFUNCTION("IMPORTRANGE(""https://docs.google.com/spreadsheets/d/1Yj_ptqi66GCucihVvJfMjLAmec39IyEx_6qawtMGysU/edit?usp=sharing"",""สบก!DL88"")"),637260)</f>
        <v>637260</v>
      </c>
      <c r="N333" s="174">
        <f ca="1">IFERROR(__xludf.DUMMYFUNCTION("IMPORTRANGE(""https://docs.google.com/spreadsheets/d/1Yj_ptqi66GCucihVvJfMjLAmec39IyEx_6qawtMGysU/edit?usp=sharing"",""สบก!DM88"")"),526002.48)</f>
        <v>526002.48</v>
      </c>
      <c r="O333" s="175">
        <f ca="1">IF(L333&gt;0,N333*100/L333,0)</f>
        <v>87.942633585233736</v>
      </c>
      <c r="P333" s="175">
        <f ca="1">IF(M333&gt;0,N333*100/M333,0)</f>
        <v>82.541267300630821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IFERROR(__xludf.DUMMYFUNCTION("IMPORTRANGE(""https://docs.google.com/spreadsheets/d/1Yj_ptqi66GCucihVvJfMjLAmec39IyEx_6qawtMGysU/edit?usp=sharing"",""สบก!DH88"")"),306000)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IFERROR(__xludf.DUMMYFUNCTION("IMPORTRANGE(""https://docs.google.com/spreadsheets/d/1Yj_ptqi66GCucihVvJfMjLAmec39IyEx_6qawtMGysU/edit?usp=sharing"",""สบก!DI88"")"),292120)</f>
        <v>292120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IFERROR(__xludf.DUMMYFUNCTION("IMPORTRANGE(""https://docs.google.com/spreadsheets/d/1Yj_ptqi66GCucihVvJfMjLAmec39IyEx_6qawtMGysU/edit?usp=sharing"",""สบก!DJ88"")"),147000)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94.557823129251702</v>
      </c>
      <c r="P337" s="101">
        <f ca="1">IF(M337&gt;0,N337*100/M337,0)</f>
        <v>94.557823129251702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IFERROR(__xludf.DUMMYFUNCTION("IMPORTRANGE(""https://docs.google.com/spreadsheets/d/1IYY_tgx_IHuhSq3AJ5eI5OnqOPBNLWSHKh2a30DoXe8/edit?usp=sharing"",""พัทลุง!I234"")"),0)</f>
        <v>0</v>
      </c>
      <c r="J339" s="194">
        <f ca="1">IFERROR(__xludf.DUMMYFUNCTION("IMPORTRANGE(""https://docs.google.com/spreadsheets/d/1IYY_tgx_IHuhSq3AJ5eI5OnqOPBNLWSHKh2a30DoXe8/edit?usp=sharing"",""พัทลุง!J234"")"),164)</f>
        <v>164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IFERROR(__xludf.DUMMYFUNCTION("IMPORTRANGE(""https://docs.google.com/spreadsheets/d/1IYY_tgx_IHuhSq3AJ5eI5OnqOPBNLWSHKh2a30DoXe8/edit?usp=sharing"",""พัทลุง!I235"")"),800)</f>
        <v>800</v>
      </c>
      <c r="J340" s="194">
        <f ca="1">IFERROR(__xludf.DUMMYFUNCTION("IMPORTRANGE(""https://docs.google.com/spreadsheets/d/1IYY_tgx_IHuhSq3AJ5eI5OnqOPBNLWSHKh2a30DoXe8/edit?usp=sharing"",""พัทลุง!J235"")"),816.56)</f>
        <v>816.56</v>
      </c>
      <c r="K340" s="348">
        <f t="shared" ca="1" si="102"/>
        <v>102.07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IFERROR(__xludf.DUMMYFUNCTION("IMPORTRANGE(""https://docs.google.com/spreadsheets/d/1IYY_tgx_IHuhSq3AJ5eI5OnqOPBNLWSHKh2a30DoXe8/edit?usp=sharing"",""พัทลุง!I236"")"),270)</f>
        <v>270</v>
      </c>
      <c r="J341" s="194">
        <f ca="1">IFERROR(__xludf.DUMMYFUNCTION("IMPORTRANGE(""https://docs.google.com/spreadsheets/d/1IYY_tgx_IHuhSq3AJ5eI5OnqOPBNLWSHKh2a30DoXe8/edit?usp=sharing"",""พัทลุง!J236"")"),307)</f>
        <v>307</v>
      </c>
      <c r="K341" s="348">
        <f t="shared" ca="1" si="102"/>
        <v>113.70370370370371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4">
        <f ca="1">IFERROR(__xludf.DUMMYFUNCTION("IMPORTRANGE(""https://docs.google.com/spreadsheets/d/1IYY_tgx_IHuhSq3AJ5eI5OnqOPBNLWSHKh2a30DoXe8/edit?usp=sharing"",""พัทลุง!J237"")"),1886.39)</f>
        <v>1886.39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IFERROR(__xludf.DUMMYFUNCTION("IMPORTRANGE(""https://docs.google.com/spreadsheets/d/1IYY_tgx_IHuhSq3AJ5eI5OnqOPBNLWSHKh2a30DoXe8/edit?usp=sharing"",""พัทลุง!I238"")"),270)</f>
        <v>270</v>
      </c>
      <c r="J343" s="194">
        <f ca="1">IFERROR(__xludf.DUMMYFUNCTION("IMPORTRANGE(""https://docs.google.com/spreadsheets/d/1IYY_tgx_IHuhSq3AJ5eI5OnqOPBNLWSHKh2a30DoXe8/edit?usp=sharing"",""พัทลุง!J238"")"),26)</f>
        <v>26</v>
      </c>
      <c r="K343" s="348">
        <f t="shared" ca="1" si="102"/>
        <v>9.6296296296296298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4">
        <f ca="1">IFERROR(__xludf.DUMMYFUNCTION("IMPORTRANGE(""https://docs.google.com/spreadsheets/d/1IYY_tgx_IHuhSq3AJ5eI5OnqOPBNLWSHKh2a30DoXe8/edit?usp=sharing"",""พัทลุง!J239"")"),147.12)</f>
        <v>147.12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IFERROR(__xludf.DUMMYFUNCTION("IMPORTRANGE(""https://docs.google.com/spreadsheets/d/1IYY_tgx_IHuhSq3AJ5eI5OnqOPBNLWSHKh2a30DoXe8/edit?usp=sharing"",""พัทลุง!I240"")"),270)</f>
        <v>270</v>
      </c>
      <c r="J345" s="194">
        <f ca="1">IFERROR(__xludf.DUMMYFUNCTION("IMPORTRANGE(""https://docs.google.com/spreadsheets/d/1IYY_tgx_IHuhSq3AJ5eI5OnqOPBNLWSHKh2a30DoXe8/edit?usp=sharing"",""พัทลุง!J240"")"),230)</f>
        <v>230</v>
      </c>
      <c r="K345" s="348">
        <f t="shared" ca="1" si="102"/>
        <v>85.18518518518519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4">
        <f ca="1">IFERROR(__xludf.DUMMYFUNCTION("IMPORTRANGE(""https://docs.google.com/spreadsheets/d/1IYY_tgx_IHuhSq3AJ5eI5OnqOPBNLWSHKh2a30DoXe8/edit?usp=sharing"",""พัทลุง!J241"")"),1424.63)</f>
        <v>1424.63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IFERROR(__xludf.DUMMYFUNCTION("IMPORTRANGE(""https://docs.google.com/spreadsheets/d/1IYY_tgx_IHuhSq3AJ5eI5OnqOPBNLWSHKh2a30DoXe8/edit?usp=sharing"",""พัทลุง!L242"")"),1652947)</f>
        <v>1652947</v>
      </c>
      <c r="M347" s="364"/>
      <c r="N347" s="364">
        <f ca="1">IFERROR(__xludf.DUMMYFUNCTION("IMPORTRANGE(""https://docs.google.com/spreadsheets/d/1IYY_tgx_IHuhSq3AJ5eI5OnqOPBNLWSHKh2a30DoXe8/edit?usp=sharing"",""พัทลุง!M242"")"),1185474.84999999)</f>
        <v>1185474.8499999901</v>
      </c>
      <c r="O347" s="364">
        <f ca="1">+IF(L347&gt;0,N347*100/L347,0)</f>
        <v>71.718866364135692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3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IFERROR(__xludf.DUMMYFUNCTION("IMPORTRANGE(""https://docs.google.com/spreadsheets/d/1IYY_tgx_IHuhSq3AJ5eI5OnqOPBNLWSHKh2a30DoXe8/edit?usp=sharing"",""พัทลุง!L244"")"),334640)</f>
        <v>334640</v>
      </c>
      <c r="M349" s="379"/>
      <c r="N349" s="379">
        <f ca="1">IFERROR(__xludf.DUMMYFUNCTION("IMPORTRANGE(""https://docs.google.com/spreadsheets/d/1IYY_tgx_IHuhSq3AJ5eI5OnqOPBNLWSHKh2a30DoXe8/edit?usp=sharing"",""พัทลุง!M244"")"),265824.11)</f>
        <v>265824.11</v>
      </c>
      <c r="O349" s="379">
        <f ca="1">+IF(L349&gt;0,N349*100/L349,0)</f>
        <v>79.435844489600768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3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IFERROR(__xludf.DUMMYFUNCTION("IMPORTRANGE(""https://docs.google.com/spreadsheets/d/1IYY_tgx_IHuhSq3AJ5eI5OnqOPBNLWSHKh2a30DoXe8/edit?usp=sharing"",""พัทลุง!L246"")"),0)</f>
        <v>0</v>
      </c>
      <c r="M351" s="168"/>
      <c r="N351" s="168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IFERROR(__xludf.DUMMYFUNCTION("IMPORTRANGE(""https://docs.google.com/spreadsheets/d/1IYY_tgx_IHuhSq3AJ5eI5OnqOPBNLWSHKh2a30DoXe8/edit?usp=sharing"",""พัทลุง!L247"")"),334640)</f>
        <v>334640</v>
      </c>
      <c r="M352" s="169"/>
      <c r="N352" s="168">
        <f ca="1">IFERROR(__xludf.DUMMYFUNCTION("IMPORTRANGE(""https://docs.google.com/spreadsheets/d/1IYY_tgx_IHuhSq3AJ5eI5OnqOPBNLWSHKh2a30DoXe8/edit?usp=sharing"",""พัทลุง!M247"")"),265824.11)</f>
        <v>265824.11</v>
      </c>
      <c r="O352" s="169">
        <f t="shared" ca="1" si="104"/>
        <v>79.435844489600768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IFERROR(__xludf.DUMMYFUNCTION("IMPORTRANGE(""https://docs.google.com/spreadsheets/d/1IYY_tgx_IHuhSq3AJ5eI5OnqOPBNLWSHKh2a30DoXe8/edit?usp=sharing"",""พัทลุง!L248"")"),0)</f>
        <v>0</v>
      </c>
      <c r="M353" s="175"/>
      <c r="N353" s="175">
        <f ca="1">IFERROR(__xludf.DUMMYFUNCTION("IMPORTRANGE(""https://docs.google.com/spreadsheets/d/1IYY_tgx_IHuhSq3AJ5eI5OnqOPBNLWSHKh2a30DoXe8/edit?usp=sharing"",""พัทลุง!M248"")"),0)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IFERROR(__xludf.DUMMYFUNCTION("IMPORTRANGE(""https://docs.google.com/spreadsheets/d/1IYY_tgx_IHuhSq3AJ5eI5OnqOPBNLWSHKh2a30DoXe8/edit?usp=sharing"",""พัทลุง!L249"")"),334640)</f>
        <v>334640</v>
      </c>
      <c r="M354" s="175"/>
      <c r="N354" s="172">
        <f ca="1">IFERROR(__xludf.DUMMYFUNCTION("IMPORTRANGE(""https://docs.google.com/spreadsheets/d/1IYY_tgx_IHuhSq3AJ5eI5OnqOPBNLWSHKh2a30DoXe8/edit?usp=sharing"",""พัทลุง!M249"")"),265824.11)</f>
        <v>265824.11</v>
      </c>
      <c r="O354" s="175">
        <f t="shared" ca="1" si="104"/>
        <v>79.435844489600768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IFERROR(__xludf.DUMMYFUNCTION("IMPORTRANGE(""https://docs.google.com/spreadsheets/d/1IYY_tgx_IHuhSq3AJ5eI5OnqOPBNLWSHKh2a30DoXe8/edit?usp=sharing"",""พัทลุง!M252"")"),97214.11)</f>
        <v>97214.11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IFERROR(__xludf.DUMMYFUNCTION("IMPORTRANGE(""https://docs.google.com/spreadsheets/d/1IYY_tgx_IHuhSq3AJ5eI5OnqOPBNLWSHKh2a30DoXe8/edit?usp=sharing"",""พัทลุง!M253"")"),10830)</f>
        <v>10830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IFERROR(__xludf.DUMMYFUNCTION("IMPORTRANGE(""https://docs.google.com/spreadsheets/d/1IYY_tgx_IHuhSq3AJ5eI5OnqOPBNLWSHKh2a30DoXe8/edit?usp=sharing"",""พัทลุง!J255"")"),0)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IFERROR(__xludf.DUMMYFUNCTION("IMPORTRANGE(""https://docs.google.com/spreadsheets/d/1IYY_tgx_IHuhSq3AJ5eI5OnqOPBNLWSHKh2a30DoXe8/edit?usp=sharing"",""พัทลุง!J256"")"),1)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IFERROR(__xludf.DUMMYFUNCTION("IMPORTRANGE(""https://docs.google.com/spreadsheets/d/1IYY_tgx_IHuhSq3AJ5eI5OnqOPBNLWSHKh2a30DoXe8/edit?usp=sharing"",""พัทลุง!J257"")"),1)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IFERROR(__xludf.DUMMYFUNCTION("IMPORTRANGE(""https://docs.google.com/spreadsheets/d/1IYY_tgx_IHuhSq3AJ5eI5OnqOPBNLWSHKh2a30DoXe8/edit?usp=sharing"",""พัทลุง!J258"")"),1)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IFERROR(__xludf.DUMMYFUNCTION("IMPORTRANGE(""https://docs.google.com/spreadsheets/d/1IYY_tgx_IHuhSq3AJ5eI5OnqOPBNLWSHKh2a30DoXe8/edit?usp=sharing"",""พัทลุง!J166"")"),0)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IFERROR(__xludf.DUMMYFUNCTION("IMPORTRANGE(""https://docs.google.com/spreadsheets/d/1IYY_tgx_IHuhSq3AJ5eI5OnqOPBNLWSHKh2a30DoXe8/edit?usp=sharing"",""พัทลุง!J166"")"),0)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IFERROR(__xludf.DUMMYFUNCTION("IMPORTRANGE(""https://docs.google.com/spreadsheets/d/1IYY_tgx_IHuhSq3AJ5eI5OnqOPBNLWSHKh2a30DoXe8/edit?usp=sharing"",""พัทลุง!J166"")"),0)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IFERROR(__xludf.DUMMYFUNCTION("IMPORTRANGE(""https://docs.google.com/spreadsheets/d/1IYY_tgx_IHuhSq3AJ5eI5OnqOPBNLWSHKh2a30DoXe8/edit?usp=sharing"",""พัทลุง!J166"")"),0)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IFERROR(__xludf.DUMMYFUNCTION("IMPORTRANGE(""https://docs.google.com/spreadsheets/d/1IYY_tgx_IHuhSq3AJ5eI5OnqOPBNLWSHKh2a30DoXe8/edit?usp=sharing"",""พัทลุง!I263"")"),32)</f>
        <v>32</v>
      </c>
      <c r="J368" s="194">
        <f ca="1">IFERROR(__xludf.DUMMYFUNCTION("IMPORTRANGE(""https://docs.google.com/spreadsheets/d/1IYY_tgx_IHuhSq3AJ5eI5OnqOPBNLWSHKh2a30DoXe8/edit?usp=sharing"",""พัทลุง!J263"")"),32)</f>
        <v>32</v>
      </c>
      <c r="K368" s="167">
        <f t="shared" ca="1" si="105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IFERROR(__xludf.DUMMYFUNCTION("IMPORTRANGE(""https://docs.google.com/spreadsheets/d/1IYY_tgx_IHuhSq3AJ5eI5OnqOPBNLWSHKh2a30DoXe8/edit?usp=sharing"",""พัทลุง!I164"")"),0)</f>
        <v>0</v>
      </c>
      <c r="J369" s="210">
        <f ca="1">IFERROR(__xludf.DUMMYFUNCTION("IMPORTRANGE(""https://docs.google.com/spreadsheets/d/1IYY_tgx_IHuhSq3AJ5eI5OnqOPBNLWSHKh2a30DoXe8/edit?usp=sharing"",""พัทลุง!J164"")"),0)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IFERROR(__xludf.DUMMYFUNCTION("IMPORTRANGE(""https://docs.google.com/spreadsheets/d/1IYY_tgx_IHuhSq3AJ5eI5OnqOPBNLWSHKh2a30DoXe8/edit?usp=sharing"",""พัทลุง!I265"")"),32)</f>
        <v>32</v>
      </c>
      <c r="J370" s="210">
        <f ca="1">IFERROR(__xludf.DUMMYFUNCTION("IMPORTRANGE(""https://docs.google.com/spreadsheets/d/1IYY_tgx_IHuhSq3AJ5eI5OnqOPBNLWSHKh2a30DoXe8/edit?usp=sharing"",""พัทลุง!J265"")"),32)</f>
        <v>32</v>
      </c>
      <c r="K370" s="167">
        <f t="shared" ca="1" si="105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IFERROR(__xludf.DUMMYFUNCTION("IMPORTRANGE(""https://docs.google.com/spreadsheets/d/1IYY_tgx_IHuhSq3AJ5eI5OnqOPBNLWSHKh2a30DoXe8/edit?usp=sharing"",""พัทลุง!I164"")"),0)</f>
        <v>0</v>
      </c>
      <c r="J371" s="195">
        <f ca="1">IFERROR(__xludf.DUMMYFUNCTION("IMPORTRANGE(""https://docs.google.com/spreadsheets/d/1IYY_tgx_IHuhSq3AJ5eI5OnqOPBNLWSHKh2a30DoXe8/edit?usp=sharing"",""พัทลุง!J164"")"),0)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IFERROR(__xludf.DUMMYFUNCTION("IMPORTRANGE(""https://docs.google.com/spreadsheets/d/1IYY_tgx_IHuhSq3AJ5eI5OnqOPBNLWSHKh2a30DoXe8/edit?usp=sharing"",""พัทลุง!I267"")"),32)</f>
        <v>32</v>
      </c>
      <c r="J372" s="195">
        <f ca="1">IFERROR(__xludf.DUMMYFUNCTION("IMPORTRANGE(""https://docs.google.com/spreadsheets/d/1IYY_tgx_IHuhSq3AJ5eI5OnqOPBNLWSHKh2a30DoXe8/edit?usp=sharing"",""พัทลุง!J267"")"),32)</f>
        <v>32</v>
      </c>
      <c r="K372" s="167">
        <f t="shared" ca="1" si="105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IFERROR(__xludf.DUMMYFUNCTION("IMPORTRANGE(""https://docs.google.com/spreadsheets/d/1IYY_tgx_IHuhSq3AJ5eI5OnqOPBNLWSHKh2a30DoXe8/edit?usp=sharing"",""พัทลุง!I164"")"),0)</f>
        <v>0</v>
      </c>
      <c r="J373" s="210">
        <f ca="1">IFERROR(__xludf.DUMMYFUNCTION("IMPORTRANGE(""https://docs.google.com/spreadsheets/d/1IYY_tgx_IHuhSq3AJ5eI5OnqOPBNLWSHKh2a30DoXe8/edit?usp=sharing"",""พัทลุง!J164"")"),0)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IFERROR(__xludf.DUMMYFUNCTION("IMPORTRANGE(""https://docs.google.com/spreadsheets/d/1IYY_tgx_IHuhSq3AJ5eI5OnqOPBNLWSHKh2a30DoXe8/edit?usp=sharing"",""พัทลุง!I164"")"),0)</f>
        <v>0</v>
      </c>
      <c r="J374" s="194">
        <f ca="1">IFERROR(__xludf.DUMMYFUNCTION("IMPORTRANGE(""https://docs.google.com/spreadsheets/d/1IYY_tgx_IHuhSq3AJ5eI5OnqOPBNLWSHKh2a30DoXe8/edit?usp=sharing"",""พัทลุง!J164"")"),0)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IFERROR(__xludf.DUMMYFUNCTION("IMPORTRANGE(""https://docs.google.com/spreadsheets/d/1IYY_tgx_IHuhSq3AJ5eI5OnqOPBNLWSHKh2a30DoXe8/edit?usp=sharing"",""พัทลุง!I270"")"),128)</f>
        <v>128</v>
      </c>
      <c r="J375" s="194">
        <f ca="1">IFERROR(__xludf.DUMMYFUNCTION("IMPORTRANGE(""https://docs.google.com/spreadsheets/d/1IYY_tgx_IHuhSq3AJ5eI5OnqOPBNLWSHKh2a30DoXe8/edit?usp=sharing"",""พัทลุง!J270"")"),128)</f>
        <v>128</v>
      </c>
      <c r="K375" s="167">
        <f t="shared" ref="K375:K377" ca="1" si="106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IFERROR(__xludf.DUMMYFUNCTION("IMPORTRANGE(""https://docs.google.com/spreadsheets/d/1IYY_tgx_IHuhSq3AJ5eI5OnqOPBNLWSHKh2a30DoXe8/edit?usp=sharing"",""พัทลุง!I271"")"),40)</f>
        <v>40</v>
      </c>
      <c r="J376" s="195">
        <f ca="1">IFERROR(__xludf.DUMMYFUNCTION("IMPORTRANGE(""https://docs.google.com/spreadsheets/d/1IYY_tgx_IHuhSq3AJ5eI5OnqOPBNLWSHKh2a30DoXe8/edit?usp=sharing"",""พัทลุง!J271"")"),40)</f>
        <v>40</v>
      </c>
      <c r="K376" s="167">
        <f t="shared" ca="1" si="106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IFERROR(__xludf.DUMMYFUNCTION("IMPORTRANGE(""https://docs.google.com/spreadsheets/d/1IYY_tgx_IHuhSq3AJ5eI5OnqOPBNLWSHKh2a30DoXe8/edit?usp=sharing"",""พัทลุง!I272"")"),88)</f>
        <v>88</v>
      </c>
      <c r="J377" s="210">
        <f ca="1">IFERROR(__xludf.DUMMYFUNCTION("IMPORTRANGE(""https://docs.google.com/spreadsheets/d/1IYY_tgx_IHuhSq3AJ5eI5OnqOPBNLWSHKh2a30DoXe8/edit?usp=sharing"",""พัทลุง!J272"")"),88)</f>
        <v>88</v>
      </c>
      <c r="K377" s="167">
        <f t="shared" ca="1" si="106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IFERROR(__xludf.DUMMYFUNCTION("IMPORTRANGE(""https://docs.google.com/spreadsheets/d/1IYY_tgx_IHuhSq3AJ5eI5OnqOPBNLWSHKh2a30DoXe8/edit?usp=sharing"",""พัทลุง!J273"")"),0)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IFERROR(__xludf.DUMMYFUNCTION("IMPORTRANGE(""https://docs.google.com/spreadsheets/d/1IYY_tgx_IHuhSq3AJ5eI5OnqOPBNLWSHKh2a30DoXe8/edit?usp=sharing"",""พัทลุง!J274"")"),0)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IFERROR(__xludf.DUMMYFUNCTION("IMPORTRANGE(""https://docs.google.com/spreadsheets/d/1IYY_tgx_IHuhSq3AJ5eI5OnqOPBNLWSHKh2a30DoXe8/edit?usp=sharing"",""พัทลุง!J275"")"),300)</f>
        <v>300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IFERROR(__xludf.DUMMYFUNCTION("IMPORTRANGE(""https://docs.google.com/spreadsheets/d/1IYY_tgx_IHuhSq3AJ5eI5OnqOPBNLWSHKh2a30DoXe8/edit?usp=sharing"",""พัทลุง!M275"")"),275280)</f>
        <v>275280</v>
      </c>
      <c r="O380" s="379">
        <f ca="1">+IF(L380&gt;0,N380*100/L380,0)</f>
        <v>93.664511738686627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IFERROR(__xludf.DUMMYFUNCTION("IMPORTRANGE(""https://docs.google.com/spreadsheets/d/1IYY_tgx_IHuhSq3AJ5eI5OnqOPBNLWSHKh2a30DoXe8/edit?usp=sharing"",""พัทลุง!L277"")"),0)</f>
        <v>0</v>
      </c>
      <c r="M382" s="168"/>
      <c r="N382" s="168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IFERROR(__xludf.DUMMYFUNCTION("IMPORTRANGE(""https://docs.google.com/spreadsheets/d/1IYY_tgx_IHuhSq3AJ5eI5OnqOPBNLWSHKh2a30DoXe8/edit?usp=sharing"",""พัทลุง!M278"")"),275280)</f>
        <v>275280</v>
      </c>
      <c r="O383" s="169">
        <f t="shared" ca="1" si="108"/>
        <v>93.664511738686627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IFERROR(__xludf.DUMMYFUNCTION("IMPORTRANGE(""https://docs.google.com/spreadsheets/d/1IYY_tgx_IHuhSq3AJ5eI5OnqOPBNLWSHKh2a30DoXe8/edit?usp=sharing"",""พัทลุง!L279"")"),0)</f>
        <v>0</v>
      </c>
      <c r="M384" s="175"/>
      <c r="N384" s="175">
        <f ca="1">IFERROR(__xludf.DUMMYFUNCTION("IMPORTRANGE(""https://docs.google.com/spreadsheets/d/1IYY_tgx_IHuhSq3AJ5eI5OnqOPBNLWSHKh2a30DoXe8/edit?usp=sharing"",""พัทลุง!M279"")"),0)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IFERROR(__xludf.DUMMYFUNCTION("IMPORTRANGE(""https://docs.google.com/spreadsheets/d/1IYY_tgx_IHuhSq3AJ5eI5OnqOPBNLWSHKh2a30DoXe8/edit?usp=sharing"",""พัทลุง!L280"")"),293900)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IFERROR(__xludf.DUMMYFUNCTION("IMPORTRANGE(""https://docs.google.com/spreadsheets/d/1IYY_tgx_IHuhSq3AJ5eI5OnqOPBNLWSHKh2a30DoXe8/edit?usp=sharing"",""พัทลุง!M280"")"),275280)</f>
        <v>275280</v>
      </c>
      <c r="O385" s="175">
        <f t="shared" ca="1" si="108"/>
        <v>93.664511738686627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IFERROR(__xludf.DUMMYFUNCTION("IMPORTRANGE(""https://docs.google.com/spreadsheets/d/1IYY_tgx_IHuhSq3AJ5eI5OnqOPBNLWSHKh2a30DoXe8/edit?usp=sharing"",""พัทลุง!M281"")"),76090)</f>
        <v>76090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IFERROR(__xludf.DUMMYFUNCTION("IMPORTRANGE(""https://docs.google.com/spreadsheets/d/1IYY_tgx_IHuhSq3AJ5eI5OnqOPBNLWSHKh2a30DoXe8/edit?usp=sharing"",""พัทลุง!M282"")"),187500)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IFERROR(__xludf.DUMMYFUNCTION("IMPORTRANGE(""https://docs.google.com/spreadsheets/d/1IYY_tgx_IHuhSq3AJ5eI5OnqOPBNLWSHKh2a30DoXe8/edit?usp=sharing"",""พัทลุง!M284"")"),11690)</f>
        <v>11690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IFERROR(__xludf.DUMMYFUNCTION("IMPORTRANGE(""https://docs.google.com/spreadsheets/d/1IYY_tgx_IHuhSq3AJ5eI5OnqOPBNLWSHKh2a30DoXe8/edit?usp=sharing"",""พัทลุง!J286"")"),0)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IFERROR(__xludf.DUMMYFUNCTION("IMPORTRANGE(""https://docs.google.com/spreadsheets/d/1IYY_tgx_IHuhSq3AJ5eI5OnqOPBNLWSHKh2a30DoXe8/edit?usp=sharing"",""พัทลุง!J287"")"),1)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IFERROR(__xludf.DUMMYFUNCTION("IMPORTRANGE(""https://docs.google.com/spreadsheets/d/1IYY_tgx_IHuhSq3AJ5eI5OnqOPBNLWSHKh2a30DoXe8/edit?usp=sharing"",""พัทลุง!J288"")"),1)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IFERROR(__xludf.DUMMYFUNCTION("IMPORTRANGE(""https://docs.google.com/spreadsheets/d/1IYY_tgx_IHuhSq3AJ5eI5OnqOPBNLWSHKh2a30DoXe8/edit?usp=sharing"",""พัทลุง!J289"")"),1)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IFERROR(__xludf.DUMMYFUNCTION("IMPORTRANGE(""https://docs.google.com/spreadsheets/d/1IYY_tgx_IHuhSq3AJ5eI5OnqOPBNLWSHKh2a30DoXe8/edit?usp=sharing"",""พัทลุง!I291"")"),30)</f>
        <v>30</v>
      </c>
      <c r="J396" s="204">
        <f ca="1">IFERROR(__xludf.DUMMYFUNCTION("IMPORTRANGE(""https://docs.google.com/spreadsheets/d/1IYY_tgx_IHuhSq3AJ5eI5OnqOPBNLWSHKh2a30DoXe8/edit?usp=sharing"",""พัทลุง!J291"")"),30)</f>
        <v>30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IFERROR(__xludf.DUMMYFUNCTION("IMPORTRANGE(""https://docs.google.com/spreadsheets/d/1IYY_tgx_IHuhSq3AJ5eI5OnqOPBNLWSHKh2a30DoXe8/edit?usp=sharing"",""พัทลุง!I292"")"),300)</f>
        <v>300</v>
      </c>
      <c r="J397" s="204">
        <f ca="1">IFERROR(__xludf.DUMMYFUNCTION("IMPORTRANGE(""https://docs.google.com/spreadsheets/d/1IYY_tgx_IHuhSq3AJ5eI5OnqOPBNLWSHKh2a30DoXe8/edit?usp=sharing"",""พัทลุง!J292"")"),300)</f>
        <v>300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IFERROR(__xludf.DUMMYFUNCTION("IMPORTRANGE(""https://docs.google.com/spreadsheets/d/1IYY_tgx_IHuhSq3AJ5eI5OnqOPBNLWSHKh2a30DoXe8/edit?usp=sharing"",""พัทลุง!I293"")"),30)</f>
        <v>30</v>
      </c>
      <c r="J398" s="204">
        <f ca="1">IFERROR(__xludf.DUMMYFUNCTION("IMPORTRANGE(""https://docs.google.com/spreadsheets/d/1IYY_tgx_IHuhSq3AJ5eI5OnqOPBNLWSHKh2a30DoXe8/edit?usp=sharing"",""พัทลุง!J293"")"),30)</f>
        <v>30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IFERROR(__xludf.DUMMYFUNCTION("IMPORTRANGE(""https://docs.google.com/spreadsheets/d/1IYY_tgx_IHuhSq3AJ5eI5OnqOPBNLWSHKh2a30DoXe8/edit?usp=sharing"",""พัทลุง!J294"")"),1)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IFERROR(__xludf.DUMMYFUNCTION("IMPORTRANGE(""https://docs.google.com/spreadsheets/d/1IYY_tgx_IHuhSq3AJ5eI5OnqOPBNLWSHKh2a30DoXe8/edit?usp=sharing"",""พัทลุง!J295"")"),0)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IFERROR(__xludf.DUMMYFUNCTION("IMPORTRANGE(""https://docs.google.com/spreadsheets/d/1IYY_tgx_IHuhSq3AJ5eI5OnqOPBNLWSHKh2a30DoXe8/edit?usp=sharing"",""พัทลุง!J296"")"),135)</f>
        <v>135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IFERROR(__xludf.DUMMYFUNCTION("IMPORTRANGE(""https://docs.google.com/spreadsheets/d/1IYY_tgx_IHuhSq3AJ5eI5OnqOPBNLWSHKh2a30DoXe8/edit?usp=sharing"",""พัทลุง!M296"")"),147620)</f>
        <v>147620</v>
      </c>
      <c r="O401" s="379">
        <f ca="1">+IF(L401&gt;0,N401*100/L401,0)</f>
        <v>92.291341044076276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IFERROR(__xludf.DUMMYFUNCTION("IMPORTRANGE(""https://docs.google.com/spreadsheets/d/1IYY_tgx_IHuhSq3AJ5eI5OnqOPBNLWSHKh2a30DoXe8/edit?usp=sharing"",""พัทลุง!J297"")"),45)</f>
        <v>45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IFERROR(__xludf.DUMMYFUNCTION("IMPORTRANGE(""https://docs.google.com/spreadsheets/d/1IYY_tgx_IHuhSq3AJ5eI5OnqOPBNLWSHKh2a30DoXe8/edit?usp=sharing"",""พัทลุง!L298"")"),0)</f>
        <v>0</v>
      </c>
      <c r="M403" s="168"/>
      <c r="N403" s="175">
        <f ca="1">IFERROR(__xludf.DUMMYFUNCTION("IMPORTRANGE(""https://docs.google.com/spreadsheets/d/1IYY_tgx_IHuhSq3AJ5eI5OnqOPBNLWSHKh2a30DoXe8/edit?usp=sharing"",""พัทลุง!M298"")"),0)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IFERROR(__xludf.DUMMYFUNCTION("IMPORTRANGE(""https://docs.google.com/spreadsheets/d/1IYY_tgx_IHuhSq3AJ5eI5OnqOPBNLWSHKh2a30DoXe8/edit?usp=sharing"",""พัทลุง!M299"")"),147620)</f>
        <v>147620</v>
      </c>
      <c r="O404" s="175">
        <f t="shared" ca="1" si="111"/>
        <v>92.291341044076276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IFERROR(__xludf.DUMMYFUNCTION("IMPORTRANGE(""https://docs.google.com/spreadsheets/d/1IYY_tgx_IHuhSq3AJ5eI5OnqOPBNLWSHKh2a30DoXe8/edit?usp=sharing"",""พัทลุง!L300"")"),0)</f>
        <v>0</v>
      </c>
      <c r="M405" s="175"/>
      <c r="N405" s="175">
        <f ca="1">IFERROR(__xludf.DUMMYFUNCTION("IMPORTRANGE(""https://docs.google.com/spreadsheets/d/1IYY_tgx_IHuhSq3AJ5eI5OnqOPBNLWSHKh2a30DoXe8/edit?usp=sharing"",""พัทลุง!M300"")"),0)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IFERROR(__xludf.DUMMYFUNCTION("IMPORTRANGE(""https://docs.google.com/spreadsheets/d/1IYY_tgx_IHuhSq3AJ5eI5OnqOPBNLWSHKh2a30DoXe8/edit?usp=sharing"",""พัทลุง!L301"")"),159950)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IFERROR(__xludf.DUMMYFUNCTION("IMPORTRANGE(""https://docs.google.com/spreadsheets/d/1IYY_tgx_IHuhSq3AJ5eI5OnqOPBNLWSHKh2a30DoXe8/edit?usp=sharing"",""พัทลุง!M301"")"),147620)</f>
        <v>147620</v>
      </c>
      <c r="O406" s="175">
        <f t="shared" ca="1" si="111"/>
        <v>92.291341044076276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IFERROR(__xludf.DUMMYFUNCTION("IMPORTRANGE(""https://docs.google.com/spreadsheets/d/1IYY_tgx_IHuhSq3AJ5eI5OnqOPBNLWSHKh2a30DoXe8/edit?usp=sharing"",""พัทลุง!M302"")"),97550)</f>
        <v>97550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IFERROR(__xludf.DUMMYFUNCTION("IMPORTRANGE(""https://docs.google.com/spreadsheets/d/1IYY_tgx_IHuhSq3AJ5eI5OnqOPBNLWSHKh2a30DoXe8/edit?usp=sharing"",""พัทลุง!M303"")"),32500)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IFERROR(__xludf.DUMMYFUNCTION("IMPORTRANGE(""https://docs.google.com/spreadsheets/d/1IYY_tgx_IHuhSq3AJ5eI5OnqOPBNLWSHKh2a30DoXe8/edit?usp=sharing"",""พัทลุง!M305"")"),17570)</f>
        <v>17570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IFERROR(__xludf.DUMMYFUNCTION("IMPORTRANGE(""https://docs.google.com/spreadsheets/d/1IYY_tgx_IHuhSq3AJ5eI5OnqOPBNLWSHKh2a30DoXe8/edit?usp=sharing"",""พัทลุง!J307"")"),0)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IFERROR(__xludf.DUMMYFUNCTION("IMPORTRANGE(""https://docs.google.com/spreadsheets/d/1IYY_tgx_IHuhSq3AJ5eI5OnqOPBNLWSHKh2a30DoXe8/edit?usp=sharing"",""พัทลุง!J308"")"),1)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IFERROR(__xludf.DUMMYFUNCTION("IMPORTRANGE(""https://docs.google.com/spreadsheets/d/1IYY_tgx_IHuhSq3AJ5eI5OnqOPBNLWSHKh2a30DoXe8/edit?usp=sharing"",""พัทลุง!J309"")"),1)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IFERROR(__xludf.DUMMYFUNCTION("IMPORTRANGE(""https://docs.google.com/spreadsheets/d/1IYY_tgx_IHuhSq3AJ5eI5OnqOPBNLWSHKh2a30DoXe8/edit?usp=sharing"",""พัทลุง!J310"")"),1)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IFERROR(__xludf.DUMMYFUNCTION("IMPORTRANGE(""https://docs.google.com/spreadsheets/d/1IYY_tgx_IHuhSq3AJ5eI5OnqOPBNLWSHKh2a30DoXe8/edit?usp=sharing"",""พัทลุง!I311"")"),45)</f>
        <v>45</v>
      </c>
      <c r="J416" s="207">
        <f ca="1">IFERROR(__xludf.DUMMYFUNCTION("IMPORTRANGE(""https://docs.google.com/spreadsheets/d/1IYY_tgx_IHuhSq3AJ5eI5OnqOPBNLWSHKh2a30DoXe8/edit?usp=sharing"",""พัทลุง!J311"")"),45)</f>
        <v>45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IFERROR(__xludf.DUMMYFUNCTION("IMPORTRANGE(""https://docs.google.com/spreadsheets/d/1IYY_tgx_IHuhSq3AJ5eI5OnqOPBNLWSHKh2a30DoXe8/edit?usp=sharing"",""พัทลุง!J312"")"),10)</f>
        <v>10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IFERROR(__xludf.DUMMYFUNCTION("IMPORTRANGE(""https://docs.google.com/spreadsheets/d/1IYY_tgx_IHuhSq3AJ5eI5OnqOPBNLWSHKh2a30DoXe8/edit?usp=sharing"",""พัทลุง!J313"")"),30)</f>
        <v>30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IFERROR(__xludf.DUMMYFUNCTION("IMPORTRANGE(""https://docs.google.com/spreadsheets/d/1IYY_tgx_IHuhSq3AJ5eI5OnqOPBNLWSHKh2a30DoXe8/edit?usp=sharing"",""พัทลุง!J315"")"),10)</f>
        <v>10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IFERROR(__xludf.DUMMYFUNCTION("IMPORTRANGE(""https://docs.google.com/spreadsheets/d/1IYY_tgx_IHuhSq3AJ5eI5OnqOPBNLWSHKh2a30DoXe8/edit?usp=sharing"",""พัทลุง!J316"")"),25)</f>
        <v>25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IFERROR(__xludf.DUMMYFUNCTION("IMPORTRANGE(""https://docs.google.com/spreadsheets/d/1IYY_tgx_IHuhSq3AJ5eI5OnqOPBNLWSHKh2a30DoXe8/edit?usp=sharing"",""พัทลุง!J317"")"),75)</f>
        <v>75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IFERROR(__xludf.DUMMYFUNCTION("IMPORTRANGE(""https://docs.google.com/spreadsheets/d/1IYY_tgx_IHuhSq3AJ5eI5OnqOPBNLWSHKh2a30DoXe8/edit?usp=sharing"",""พัทลุง!J318"")"),25)</f>
        <v>25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IFERROR(__xludf.DUMMYFUNCTION("IMPORTRANGE(""https://docs.google.com/spreadsheets/d/1IYY_tgx_IHuhSq3AJ5eI5OnqOPBNLWSHKh2a30DoXe8/edit?usp=sharing"",""พัทลุง!J319"")"),25)</f>
        <v>25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IFERROR(__xludf.DUMMYFUNCTION("IMPORTRANGE(""https://docs.google.com/spreadsheets/d/1IYY_tgx_IHuhSq3AJ5eI5OnqOPBNLWSHKh2a30DoXe8/edit?usp=sharing"",""พัทลุง!J320"")"),25)</f>
        <v>25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IFERROR(__xludf.DUMMYFUNCTION("IMPORTRANGE(""https://docs.google.com/spreadsheets/d/1IYY_tgx_IHuhSq3AJ5eI5OnqOPBNLWSHKh2a30DoXe8/edit?usp=sharing"",""พัทลุง!J325"")"),35)</f>
        <v>35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IFERROR(__xludf.DUMMYFUNCTION("IMPORTRANGE(""https://docs.google.com/spreadsheets/d/1IYY_tgx_IHuhSq3AJ5eI5OnqOPBNLWSHKh2a30DoXe8/edit?usp=sharing"",""พัทลุง!J326"")"),10)</f>
        <v>10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IFERROR(__xludf.DUMMYFUNCTION("IMPORTRANGE(""https://docs.google.com/spreadsheets/d/1IYY_tgx_IHuhSq3AJ5eI5OnqOPBNLWSHKh2a30DoXe8/edit?usp=sharing"",""พัทลุง!J327"")"),25)</f>
        <v>25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IFERROR(__xludf.DUMMYFUNCTION("IMPORTRANGE(""https://docs.google.com/spreadsheets/d/1IYY_tgx_IHuhSq3AJ5eI5OnqOPBNLWSHKh2a30DoXe8/edit?usp=sharing"",""พัทลุง!J328"")"),1)</f>
        <v>1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IFERROR(__xludf.DUMMYFUNCTION("IMPORTRANGE(""https://docs.google.com/spreadsheets/d/1IYY_tgx_IHuhSq3AJ5eI5OnqOPBNLWSHKh2a30DoXe8/edit?usp=sharing"",""พัทลุง!J329"")"),0)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IFERROR(__xludf.DUMMYFUNCTION("IMPORTRANGE(""https://docs.google.com/spreadsheets/d/1IYY_tgx_IHuhSq3AJ5eI5OnqOPBNLWSHKh2a30DoXe8/edit?usp=sharing"",""พัทลุง!M330"")"),190680)</f>
        <v>190680</v>
      </c>
      <c r="O435" s="418">
        <f t="shared" ref="O435:O439" ca="1" si="113">+IF(L435&gt;0,N435*100/L435,0)</f>
        <v>89.144460028050489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IFERROR(__xludf.DUMMYFUNCTION("IMPORTRANGE(""https://docs.google.com/spreadsheets/d/1IYY_tgx_IHuhSq3AJ5eI5OnqOPBNLWSHKh2a30DoXe8/edit?usp=sharing"",""พัทลุง!L331"")"),0)</f>
        <v>0</v>
      </c>
      <c r="M436" s="168"/>
      <c r="N436" s="175">
        <f ca="1">IFERROR(__xludf.DUMMYFUNCTION("IMPORTRANGE(""https://docs.google.com/spreadsheets/d/1IYY_tgx_IHuhSq3AJ5eI5OnqOPBNLWSHKh2a30DoXe8/edit?usp=sharing"",""พัทลุง!M331"")"),0)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277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IFERROR(__xludf.DUMMYFUNCTION("IMPORTRANGE(""https://docs.google.com/spreadsheets/d/1IYY_tgx_IHuhSq3AJ5eI5OnqOPBNLWSHKh2a30DoXe8/edit?usp=sharing"",""พัทลุง!L332"")"),213900)</f>
        <v>213900</v>
      </c>
      <c r="M437" s="169"/>
      <c r="N437" s="175">
        <f ca="1">IFERROR(__xludf.DUMMYFUNCTION("IMPORTRANGE(""https://docs.google.com/spreadsheets/d/1IYY_tgx_IHuhSq3AJ5eI5OnqOPBNLWSHKh2a30DoXe8/edit?usp=sharing"",""พัทลุง!M332"")"),190680)</f>
        <v>190680</v>
      </c>
      <c r="O437" s="175">
        <f t="shared" ca="1" si="113"/>
        <v>89.144460028050489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IFERROR(__xludf.DUMMYFUNCTION("IMPORTRANGE(""https://docs.google.com/spreadsheets/d/1IYY_tgx_IHuhSq3AJ5eI5OnqOPBNLWSHKh2a30DoXe8/edit?usp=sharing"",""พัทลุง!L333"")"),0)</f>
        <v>0</v>
      </c>
      <c r="M438" s="175"/>
      <c r="N438" s="175">
        <f ca="1">IFERROR(__xludf.DUMMYFUNCTION("IMPORTRANGE(""https://docs.google.com/spreadsheets/d/1IYY_tgx_IHuhSq3AJ5eI5OnqOPBNLWSHKh2a30DoXe8/edit?usp=sharing"",""พัทลุง!M333"")"),0)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IFERROR(__xludf.DUMMYFUNCTION("IMPORTRANGE(""https://docs.google.com/spreadsheets/d/1IYY_tgx_IHuhSq3AJ5eI5OnqOPBNLWSHKh2a30DoXe8/edit?usp=sharing"",""พัทลุง!L334"")"),110900)</f>
        <v>110900</v>
      </c>
      <c r="M439" s="175"/>
      <c r="N439" s="175">
        <f ca="1">IFERROR(__xludf.DUMMYFUNCTION("IMPORTRANGE(""https://docs.google.com/spreadsheets/d/1IYY_tgx_IHuhSq3AJ5eI5OnqOPBNLWSHKh2a30DoXe8/edit?usp=sharing"",""พัทลุง!M334"")"),87680)</f>
        <v>87680</v>
      </c>
      <c r="O439" s="175">
        <f t="shared" ca="1" si="113"/>
        <v>79.062218214607753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IFERROR(__xludf.DUMMYFUNCTION("IMPORTRANGE(""https://docs.google.com/spreadsheets/d/1IYY_tgx_IHuhSq3AJ5eI5OnqOPBNLWSHKh2a30DoXe8/edit?usp=sharing"",""พัทลุง!M335"")"),57190)</f>
        <v>57190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IFERROR(__xludf.DUMMYFUNCTION("IMPORTRANGE(""https://docs.google.com/spreadsheets/d/1IYY_tgx_IHuhSq3AJ5eI5OnqOPBNLWSHKh2a30DoXe8/edit?usp=sharing"",""พัทลุง!M337"")"),0)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IFERROR(__xludf.DUMMYFUNCTION("IMPORTRANGE(""https://docs.google.com/spreadsheets/d/1IYY_tgx_IHuhSq3AJ5eI5OnqOPBNLWSHKh2a30DoXe8/edit?usp=sharing"",""พัทลุง!M338"")"),30490)</f>
        <v>30490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IFERROR(__xludf.DUMMYFUNCTION("IMPORTRANGE(""https://docs.google.com/spreadsheets/d/1IYY_tgx_IHuhSq3AJ5eI5OnqOPBNLWSHKh2a30DoXe8/edit?usp=sharing"",""พัทลุง!J340"")"),0)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IFERROR(__xludf.DUMMYFUNCTION("IMPORTRANGE(""https://docs.google.com/spreadsheets/d/1IYY_tgx_IHuhSq3AJ5eI5OnqOPBNLWSHKh2a30DoXe8/edit?usp=sharing"",""พัทลุง!J341"")"),1)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IFERROR(__xludf.DUMMYFUNCTION("IMPORTRANGE(""https://docs.google.com/spreadsheets/d/1IYY_tgx_IHuhSq3AJ5eI5OnqOPBNLWSHKh2a30DoXe8/edit?usp=sharing"",""พัทลุง!J342"")"),1)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IFERROR(__xludf.DUMMYFUNCTION("IMPORTRANGE(""https://docs.google.com/spreadsheets/d/1IYY_tgx_IHuhSq3AJ5eI5OnqOPBNLWSHKh2a30DoXe8/edit?usp=sharing"",""พัทลุง!J343"")"),1)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7">
        <f ca="1">IFERROR(__xludf.DUMMYFUNCTION("IMPORTRANGE(""https://docs.google.com/spreadsheets/d/1IYY_tgx_IHuhSq3AJ5eI5OnqOPBNLWSHKh2a30DoXe8/edit?usp=sharing"",""พัทลุง!J344"")"),25)</f>
        <v>25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5">
        <f ca="1">IFERROR(__xludf.DUMMYFUNCTION("IMPORTRANGE(""https://docs.google.com/spreadsheets/d/1IYY_tgx_IHuhSq3AJ5eI5OnqOPBNLWSHKh2a30DoXe8/edit?usp=sharing"",""พัทลุง!J345"")"),25)</f>
        <v>25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4">
        <f ca="1">IFERROR(__xludf.DUMMYFUNCTION("IMPORTRANGE(""https://docs.google.com/spreadsheets/d/1IYY_tgx_IHuhSq3AJ5eI5OnqOPBNLWSHKh2a30DoXe8/edit?usp=sharing"",""พัทลุง!J346"")"),0)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IFERROR(__xludf.DUMMYFUNCTION("IMPORTRANGE(""https://docs.google.com/spreadsheets/d/1IYY_tgx_IHuhSq3AJ5eI5OnqOPBNLWSHKh2a30DoXe8/edit?usp=sharing"",""พัทลุง!I347"")"),0)</f>
        <v>0</v>
      </c>
      <c r="J452" s="194">
        <f ca="1">IFERROR(__xludf.DUMMYFUNCTION("IMPORTRANGE(""https://docs.google.com/spreadsheets/d/1IYY_tgx_IHuhSq3AJ5eI5OnqOPBNLWSHKh2a30DoXe8/edit?usp=sharing"",""พัทลุง!J347"")"),0)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IFERROR(__xludf.DUMMYFUNCTION("IMPORTRANGE(""https://docs.google.com/spreadsheets/d/1IYY_tgx_IHuhSq3AJ5eI5OnqOPBNLWSHKh2a30DoXe8/edit?usp=sharing"",""พัทลุง!J348"")"),1)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IFERROR(__xludf.DUMMYFUNCTION("IMPORTRANGE(""https://docs.google.com/spreadsheets/d/1IYY_tgx_IHuhSq3AJ5eI5OnqOPBNLWSHKh2a30DoXe8/edit?usp=sharing"",""พัทลุง!J349"")"),0)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IFERROR(__xludf.DUMMYFUNCTION("IMPORTRANGE(""https://docs.google.com/spreadsheets/d/1IYY_tgx_IHuhSq3AJ5eI5OnqOPBNLWSHKh2a30DoXe8/edit?usp=sharing"",""พัทลุง!J350"")"),29775)</f>
        <v>29775</v>
      </c>
      <c r="K455" s="378">
        <f ca="1">IF(I455&gt;0,J455*100/I455,0)</f>
        <v>100.00335863505072</v>
      </c>
      <c r="L455" s="379">
        <f ca="1">IFERROR(__xludf.DUMMYFUNCTION("IMPORTRANGE(""https://docs.google.com/spreadsheets/d/1IYY_tgx_IHuhSq3AJ5eI5OnqOPBNLWSHKh2a30DoXe8/edit?usp=sharing"",""พัทลุง!L350"")"),349252)</f>
        <v>349252</v>
      </c>
      <c r="M455" s="379"/>
      <c r="N455" s="379">
        <f ca="1">IFERROR(__xludf.DUMMYFUNCTION("IMPORTRANGE(""https://docs.google.com/spreadsheets/d/1IYY_tgx_IHuhSq3AJ5eI5OnqOPBNLWSHKh2a30DoXe8/edit?usp=sharing"",""พัทลุง!M350"")"),166774.3)</f>
        <v>166774.29999999999</v>
      </c>
      <c r="O455" s="379">
        <f t="shared" ref="O455:O459" ca="1" si="115">+IF(L455&gt;0,N455*100/L455,0)</f>
        <v>47.751852530550998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IFERROR(__xludf.DUMMYFUNCTION("IMPORTRANGE(""https://docs.google.com/spreadsheets/d/1IYY_tgx_IHuhSq3AJ5eI5OnqOPBNLWSHKh2a30DoXe8/edit?usp=sharing"",""พัทลุง!L351"")"),0)</f>
        <v>0</v>
      </c>
      <c r="M456" s="168"/>
      <c r="N456" s="175">
        <f ca="1">IFERROR(__xludf.DUMMYFUNCTION("IMPORTRANGE(""https://docs.google.com/spreadsheets/d/1IYY_tgx_IHuhSq3AJ5eI5OnqOPBNLWSHKh2a30DoXe8/edit?usp=sharing"",""พัทลุง!M351"")"),0)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IFERROR(__xludf.DUMMYFUNCTION("IMPORTRANGE(""https://docs.google.com/spreadsheets/d/1IYY_tgx_IHuhSq3AJ5eI5OnqOPBNLWSHKh2a30DoXe8/edit?usp=sharing"",""พัทลุง!L352"")"),349252)</f>
        <v>349252</v>
      </c>
      <c r="M457" s="169"/>
      <c r="N457" s="175">
        <f ca="1">IFERROR(__xludf.DUMMYFUNCTION("IMPORTRANGE(""https://docs.google.com/spreadsheets/d/1IYY_tgx_IHuhSq3AJ5eI5OnqOPBNLWSHKh2a30DoXe8/edit?usp=sharing"",""พัทลุง!M352"")"),166774.3)</f>
        <v>166774.29999999999</v>
      </c>
      <c r="O457" s="175">
        <f t="shared" ca="1" si="115"/>
        <v>47.751852530550998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IFERROR(__xludf.DUMMYFUNCTION("IMPORTRANGE(""https://docs.google.com/spreadsheets/d/1IYY_tgx_IHuhSq3AJ5eI5OnqOPBNLWSHKh2a30DoXe8/edit?usp=sharing"",""พัทลุง!L353"")"),0)</f>
        <v>0</v>
      </c>
      <c r="M458" s="175"/>
      <c r="N458" s="175">
        <f ca="1">IFERROR(__xludf.DUMMYFUNCTION("IMPORTRANGE(""https://docs.google.com/spreadsheets/d/1IYY_tgx_IHuhSq3AJ5eI5OnqOPBNLWSHKh2a30DoXe8/edit?usp=sharing"",""พัทลุง!M353"")"),0)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IFERROR(__xludf.DUMMYFUNCTION("IMPORTRANGE(""https://docs.google.com/spreadsheets/d/1IYY_tgx_IHuhSq3AJ5eI5OnqOPBNLWSHKh2a30DoXe8/edit?usp=sharing"",""พัทลุง!L354"")"),349252)</f>
        <v>349252</v>
      </c>
      <c r="M459" s="175"/>
      <c r="N459" s="175">
        <f ca="1">IFERROR(__xludf.DUMMYFUNCTION("IMPORTRANGE(""https://docs.google.com/spreadsheets/d/1IYY_tgx_IHuhSq3AJ5eI5OnqOPBNLWSHKh2a30DoXe8/edit?usp=sharing"",""พัทลุง!M354"")"),166774.3)</f>
        <v>166774.29999999999</v>
      </c>
      <c r="O459" s="175">
        <f t="shared" ca="1" si="115"/>
        <v>47.751852530550998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IFERROR(__xludf.DUMMYFUNCTION("IMPORTRANGE(""https://docs.google.com/spreadsheets/d/1IYY_tgx_IHuhSq3AJ5eI5OnqOPBNLWSHKh2a30DoXe8/edit?usp=sharing"",""พัทลุง!M355"")"),0)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IFERROR(__xludf.DUMMYFUNCTION("IMPORTRANGE(""https://docs.google.com/spreadsheets/d/1IYY_tgx_IHuhSq3AJ5eI5OnqOPBNLWSHKh2a30DoXe8/edit?usp=sharing"",""พัทลุง!M356"")"),0)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IFERROR(__xludf.DUMMYFUNCTION("IMPORTRANGE(""https://docs.google.com/spreadsheets/d/1IYY_tgx_IHuhSq3AJ5eI5OnqOPBNLWSHKh2a30DoXe8/edit?usp=sharing"",""พัทลุง!M357"")"),94694.96)</f>
        <v>94694.96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IFERROR(__xludf.DUMMYFUNCTION("IMPORTRANGE(""https://docs.google.com/spreadsheets/d/1IYY_tgx_IHuhSq3AJ5eI5OnqOPBNLWSHKh2a30DoXe8/edit?usp=sharing"",""พัทลุง!M358"")"),72079.34)</f>
        <v>72079.34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IFERROR(__xludf.DUMMYFUNCTION("IMPORTRANGE(""https://docs.google.com/spreadsheets/d/1IYY_tgx_IHuhSq3AJ5eI5OnqOPBNLWSHKh2a30DoXe8/edit?usp=sharing"",""พัทลุง!I359"")"),29774)</f>
        <v>29774</v>
      </c>
      <c r="J464" s="273">
        <f ca="1">IFERROR(__xludf.DUMMYFUNCTION("IMPORTRANGE(""https://docs.google.com/spreadsheets/d/1IYY_tgx_IHuhSq3AJ5eI5OnqOPBNLWSHKh2a30DoXe8/edit?usp=sharing"",""พัทลุง!J359"")"),29775)</f>
        <v>29775</v>
      </c>
      <c r="K464" s="274">
        <f t="shared" ref="K464:K515" ca="1" si="116">IF(I464&gt;0,J464*100/I464,0)</f>
        <v>100.00335863505072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IFERROR(__xludf.DUMMYFUNCTION("IMPORTRANGE(""https://docs.google.com/spreadsheets/d/1IYY_tgx_IHuhSq3AJ5eI5OnqOPBNLWSHKh2a30DoXe8/edit?usp=sharing"",""พัทลุง!J360"")"),29776)</f>
        <v>29776</v>
      </c>
      <c r="K465" s="208">
        <f t="shared" ca="1" si="116"/>
        <v>100.00671727010143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IFERROR(__xludf.DUMMYFUNCTION("IMPORTRANGE(""https://docs.google.com/spreadsheets/d/1IYY_tgx_IHuhSq3AJ5eI5OnqOPBNLWSHKh2a30DoXe8/edit?usp=sharing"",""พัทลุง!I362"")"),0)</f>
        <v>0</v>
      </c>
      <c r="J467" s="195">
        <f ca="1">IFERROR(__xludf.DUMMYFUNCTION("IMPORTRANGE(""https://docs.google.com/spreadsheets/d/1IYY_tgx_IHuhSq3AJ5eI5OnqOPBNLWSHKh2a30DoXe8/edit?usp=sharing"",""พัทลุง!J362"")"),25982)</f>
        <v>25982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IFERROR(__xludf.DUMMYFUNCTION("IMPORTRANGE(""https://docs.google.com/spreadsheets/d/1IYY_tgx_IHuhSq3AJ5eI5OnqOPBNLWSHKh2a30DoXe8/edit?usp=sharing"",""พัทลุง!I363"")"),0)</f>
        <v>0</v>
      </c>
      <c r="J468" s="195">
        <f ca="1">IFERROR(__xludf.DUMMYFUNCTION("IMPORTRANGE(""https://docs.google.com/spreadsheets/d/1IYY_tgx_IHuhSq3AJ5eI5OnqOPBNLWSHKh2a30DoXe8/edit?usp=sharing"",""พัทลุง!J363"")"),4969)</f>
        <v>4969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IFERROR(__xludf.DUMMYFUNCTION("IMPORTRANGE(""https://docs.google.com/spreadsheets/d/1IYY_tgx_IHuhSq3AJ5eI5OnqOPBNLWSHKh2a30DoXe8/edit?usp=sharing"",""พัทลุง!I364"")"),0)</f>
        <v>0</v>
      </c>
      <c r="J469" s="195">
        <f ca="1">IFERROR(__xludf.DUMMYFUNCTION("IMPORTRANGE(""https://docs.google.com/spreadsheets/d/1IYY_tgx_IHuhSq3AJ5eI5OnqOPBNLWSHKh2a30DoXe8/edit?usp=sharing"",""พัทลุง!J364"")"),3524)</f>
        <v>3524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IFERROR(__xludf.DUMMYFUNCTION("IMPORTRANGE(""https://docs.google.com/spreadsheets/d/1IYY_tgx_IHuhSq3AJ5eI5OnqOPBNLWSHKh2a30DoXe8/edit?usp=sharing"",""พัทลุง!I365"")"),0)</f>
        <v>0</v>
      </c>
      <c r="J470" s="195">
        <f ca="1">IFERROR(__xludf.DUMMYFUNCTION("IMPORTRANGE(""https://docs.google.com/spreadsheets/d/1IYY_tgx_IHuhSq3AJ5eI5OnqOPBNLWSHKh2a30DoXe8/edit?usp=sharing"",""พัทลุง!J365"")"),521)</f>
        <v>521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IFERROR(__xludf.DUMMYFUNCTION("IMPORTRANGE(""https://docs.google.com/spreadsheets/d/1IYY_tgx_IHuhSq3AJ5eI5OnqOPBNLWSHKh2a30DoXe8/edit?usp=sharing"",""พัทลุง!I366"")"),0)</f>
        <v>0</v>
      </c>
      <c r="J471" s="195">
        <f ca="1">IFERROR(__xludf.DUMMYFUNCTION("IMPORTRANGE(""https://docs.google.com/spreadsheets/d/1IYY_tgx_IHuhSq3AJ5eI5OnqOPBNLWSHKh2a30DoXe8/edit?usp=sharing"",""พัทลุง!J366"")"),270)</f>
        <v>270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IFERROR(__xludf.DUMMYFUNCTION("IMPORTRANGE(""https://docs.google.com/spreadsheets/d/1IYY_tgx_IHuhSq3AJ5eI5OnqOPBNLWSHKh2a30DoXe8/edit?usp=sharing"",""พัทลุง!I367"")"),0)</f>
        <v>0</v>
      </c>
      <c r="J472" s="195">
        <f ca="1">IFERROR(__xludf.DUMMYFUNCTION("IMPORTRANGE(""https://docs.google.com/spreadsheets/d/1IYY_tgx_IHuhSq3AJ5eI5OnqOPBNLWSHKh2a30DoXe8/edit?usp=sharing"",""พัทลุง!J367"")"),50)</f>
        <v>50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8">
        <f t="shared" ca="1" si="116"/>
        <v>100.00335863505072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IFERROR(__xludf.DUMMYFUNCTION("IMPORTRANGE(""https://docs.google.com/spreadsheets/d/1IYY_tgx_IHuhSq3AJ5eI5OnqOPBNLWSHKh2a30DoXe8/edit?usp=sharing"",""พัทลุง!I370"")"),0)</f>
        <v>0</v>
      </c>
      <c r="J475" s="195">
        <f ca="1">IFERROR(__xludf.DUMMYFUNCTION("IMPORTRANGE(""https://docs.google.com/spreadsheets/d/1IYY_tgx_IHuhSq3AJ5eI5OnqOPBNLWSHKh2a30DoXe8/edit?usp=sharing"",""พัทลุง!J370"")"),28752)</f>
        <v>28752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IFERROR(__xludf.DUMMYFUNCTION("IMPORTRANGE(""https://docs.google.com/spreadsheets/d/1IYY_tgx_IHuhSq3AJ5eI5OnqOPBNLWSHKh2a30DoXe8/edit?usp=sharing"",""พัทลุง!I371"")"),0)</f>
        <v>0</v>
      </c>
      <c r="J476" s="195">
        <f ca="1">IFERROR(__xludf.DUMMYFUNCTION("IMPORTRANGE(""https://docs.google.com/spreadsheets/d/1IYY_tgx_IHuhSq3AJ5eI5OnqOPBNLWSHKh2a30DoXe8/edit?usp=sharing"",""พัทลุง!J371"")"),5349)</f>
        <v>5349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IFERROR(__xludf.DUMMYFUNCTION("IMPORTRANGE(""https://docs.google.com/spreadsheets/d/1IYY_tgx_IHuhSq3AJ5eI5OnqOPBNLWSHKh2a30DoXe8/edit?usp=sharing"",""พัทลุง!I372"")"),0)</f>
        <v>0</v>
      </c>
      <c r="J477" s="195">
        <f ca="1">IFERROR(__xludf.DUMMYFUNCTION("IMPORTRANGE(""https://docs.google.com/spreadsheets/d/1IYY_tgx_IHuhSq3AJ5eI5OnqOPBNLWSHKh2a30DoXe8/edit?usp=sharing"",""พัทลุง!J372"")"),589)</f>
        <v>589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IFERROR(__xludf.DUMMYFUNCTION("IMPORTRANGE(""https://docs.google.com/spreadsheets/d/1IYY_tgx_IHuhSq3AJ5eI5OnqOPBNLWSHKh2a30DoXe8/edit?usp=sharing"",""พัทลุง!I373"")"),0)</f>
        <v>0</v>
      </c>
      <c r="J478" s="195">
        <f ca="1">IFERROR(__xludf.DUMMYFUNCTION("IMPORTRANGE(""https://docs.google.com/spreadsheets/d/1IYY_tgx_IHuhSq3AJ5eI5OnqOPBNLWSHKh2a30DoXe8/edit?usp=sharing"",""พัทลุง!J373"")"),123)</f>
        <v>123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IFERROR(__xludf.DUMMYFUNCTION("IMPORTRANGE(""https://docs.google.com/spreadsheets/d/1IYY_tgx_IHuhSq3AJ5eI5OnqOPBNLWSHKh2a30DoXe8/edit?usp=sharing"",""พัทลุง!I374"")"),0)</f>
        <v>0</v>
      </c>
      <c r="J479" s="195">
        <f ca="1">IFERROR(__xludf.DUMMYFUNCTION("IMPORTRANGE(""https://docs.google.com/spreadsheets/d/1IYY_tgx_IHuhSq3AJ5eI5OnqOPBNLWSHKh2a30DoXe8/edit?usp=sharing"",""พัทลุง!J374"")"),434)</f>
        <v>434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IFERROR(__xludf.DUMMYFUNCTION("IMPORTRANGE(""https://docs.google.com/spreadsheets/d/1IYY_tgx_IHuhSq3AJ5eI5OnqOPBNLWSHKh2a30DoXe8/edit?usp=sharing"",""พัทลุง!I375"")"),0)</f>
        <v>0</v>
      </c>
      <c r="J480" s="195">
        <f ca="1">IFERROR(__xludf.DUMMYFUNCTION("IMPORTRANGE(""https://docs.google.com/spreadsheets/d/1IYY_tgx_IHuhSq3AJ5eI5OnqOPBNLWSHKh2a30DoXe8/edit?usp=sharing"",""พัทลุง!J375"")"),68)</f>
        <v>68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IFERROR(__xludf.DUMMYFUNCTION("IMPORTRANGE(""https://docs.google.com/spreadsheets/d/1IYY_tgx_IHuhSq3AJ5eI5OnqOPBNLWSHKh2a30DoXe8/edit?usp=sharing"",""พัทลุง!J376"")"),29775)</f>
        <v>29775</v>
      </c>
      <c r="K481" s="208">
        <f t="shared" ca="1" si="116"/>
        <v>100.00335863505072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IFERROR(__xludf.DUMMYFUNCTION("IMPORTRANGE(""https://docs.google.com/spreadsheets/d/1IYY_tgx_IHuhSq3AJ5eI5OnqOPBNLWSHKh2a30DoXe8/edit?usp=sharing"",""พัทลุง!J377"")"),5540)</f>
        <v>5540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IFERROR(__xludf.DUMMYFUNCTION("IMPORTRANGE(""https://docs.google.com/spreadsheets/d/1IYY_tgx_IHuhSq3AJ5eI5OnqOPBNLWSHKh2a30DoXe8/edit?usp=sharing"",""พัทลุง!I378"")"),0)</f>
        <v>0</v>
      </c>
      <c r="J483" s="195">
        <f ca="1">IFERROR(__xludf.DUMMYFUNCTION("IMPORTRANGE(""https://docs.google.com/spreadsheets/d/1IYY_tgx_IHuhSq3AJ5eI5OnqOPBNLWSHKh2a30DoXe8/edit?usp=sharing"",""พัทลุง!J378"")"),26399)</f>
        <v>26399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IFERROR(__xludf.DUMMYFUNCTION("IMPORTRANGE(""https://docs.google.com/spreadsheets/d/1IYY_tgx_IHuhSq3AJ5eI5OnqOPBNLWSHKh2a30DoXe8/edit?usp=sharing"",""พัทลุง!I379"")"),0)</f>
        <v>0</v>
      </c>
      <c r="J484" s="195">
        <f ca="1">IFERROR(__xludf.DUMMYFUNCTION("IMPORTRANGE(""https://docs.google.com/spreadsheets/d/1IYY_tgx_IHuhSq3AJ5eI5OnqOPBNLWSHKh2a30DoXe8/edit?usp=sharing"",""พัทลุง!J379"")"),5068)</f>
        <v>5068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IFERROR(__xludf.DUMMYFUNCTION("IMPORTRANGE(""https://docs.google.com/spreadsheets/d/1IYY_tgx_IHuhSq3AJ5eI5OnqOPBNLWSHKh2a30DoXe8/edit?usp=sharing"",""พัทลุง!I380"")"),0)</f>
        <v>0</v>
      </c>
      <c r="J485" s="195">
        <f ca="1">IFERROR(__xludf.DUMMYFUNCTION("IMPORTRANGE(""https://docs.google.com/spreadsheets/d/1IYY_tgx_IHuhSq3AJ5eI5OnqOPBNLWSHKh2a30DoXe8/edit?usp=sharing"",""พัทลุง!J380"")"),2942)</f>
        <v>2942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IFERROR(__xludf.DUMMYFUNCTION("IMPORTRANGE(""https://docs.google.com/spreadsheets/d/1IYY_tgx_IHuhSq3AJ5eI5OnqOPBNLWSHKh2a30DoXe8/edit?usp=sharing"",""พัทลุง!I381"")"),0)</f>
        <v>0</v>
      </c>
      <c r="J486" s="195">
        <f ca="1">IFERROR(__xludf.DUMMYFUNCTION("IMPORTRANGE(""https://docs.google.com/spreadsheets/d/1IYY_tgx_IHuhSq3AJ5eI5OnqOPBNLWSHKh2a30DoXe8/edit?usp=sharing"",""พัทลุง!J381"")"),404)</f>
        <v>404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IFERROR(__xludf.DUMMYFUNCTION("IMPORTRANGE(""https://docs.google.com/spreadsheets/d/1IYY_tgx_IHuhSq3AJ5eI5OnqOPBNLWSHKh2a30DoXe8/edit?usp=sharing"",""พัทลุง!I384"")"),0)</f>
        <v>0</v>
      </c>
      <c r="J489" s="195">
        <f ca="1">IFERROR(__xludf.DUMMYFUNCTION("IMPORTRANGE(""https://docs.google.com/spreadsheets/d/1IYY_tgx_IHuhSq3AJ5eI5OnqOPBNLWSHKh2a30DoXe8/edit?usp=sharing"",""พัทลุง!J384"")"),434)</f>
        <v>434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IFERROR(__xludf.DUMMYFUNCTION("IMPORTRANGE(""https://docs.google.com/spreadsheets/d/1IYY_tgx_IHuhSq3AJ5eI5OnqOPBNLWSHKh2a30DoXe8/edit?usp=sharing"",""พัทลุง!I385"")"),0)</f>
        <v>0</v>
      </c>
      <c r="J490" s="195">
        <f ca="1">IFERROR(__xludf.DUMMYFUNCTION("IMPORTRANGE(""https://docs.google.com/spreadsheets/d/1IYY_tgx_IHuhSq3AJ5eI5OnqOPBNLWSHKh2a30DoXe8/edit?usp=sharing"",""พัทลุง!J385"")"),68)</f>
        <v>68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IFERROR(__xludf.DUMMYFUNCTION("IMPORTRANGE(""https://docs.google.com/spreadsheets/d/1IYY_tgx_IHuhSq3AJ5eI5OnqOPBNLWSHKh2a30DoXe8/edit?usp=sharing"",""พัทลุง!I386"")"),0)</f>
        <v>0</v>
      </c>
      <c r="J491" s="195">
        <f ca="1">IFERROR(__xludf.DUMMYFUNCTION("IMPORTRANGE(""https://docs.google.com/spreadsheets/d/1IYY_tgx_IHuhSq3AJ5eI5OnqOPBNLWSHKh2a30DoXe8/edit?usp=sharing"",""พัทลุง!J386"")"),0)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IFERROR(__xludf.DUMMYFUNCTION("IMPORTRANGE(""https://docs.google.com/spreadsheets/d/1IYY_tgx_IHuhSq3AJ5eI5OnqOPBNLWSHKh2a30DoXe8/edit?usp=sharing"",""พัทลุง!I387"")"),0)</f>
        <v>0</v>
      </c>
      <c r="J492" s="195">
        <f ca="1">IFERROR(__xludf.DUMMYFUNCTION("IMPORTRANGE(""https://docs.google.com/spreadsheets/d/1IYY_tgx_IHuhSq3AJ5eI5OnqOPBNLWSHKh2a30DoXe8/edit?usp=sharing"",""พัทลุง!J387"")"),0)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IFERROR(__xludf.DUMMYFUNCTION("IMPORTRANGE(""https://docs.google.com/spreadsheets/d/1IYY_tgx_IHuhSq3AJ5eI5OnqOPBNLWSHKh2a30DoXe8/edit?usp=sharing"",""พัทลุง!I388"")"),0)</f>
        <v>0</v>
      </c>
      <c r="J493" s="195">
        <f ca="1">IFERROR(__xludf.DUMMYFUNCTION("IMPORTRANGE(""https://docs.google.com/spreadsheets/d/1IYY_tgx_IHuhSq3AJ5eI5OnqOPBNLWSHKh2a30DoXe8/edit?usp=sharing"",""พัทลุง!J388"")"),0)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IFERROR(__xludf.DUMMYFUNCTION("IMPORTRANGE(""https://docs.google.com/spreadsheets/d/1IYY_tgx_IHuhSq3AJ5eI5OnqOPBNLWSHKh2a30DoXe8/edit?usp=sharing"",""พัทลุง!J392"")"),164)</f>
        <v>164</v>
      </c>
      <c r="K497" s="450">
        <f t="shared" ca="1" si="116"/>
        <v>88.648648648648646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IFERROR(__xludf.DUMMYFUNCTION("IMPORTRANGE(""https://docs.google.com/spreadsheets/d/1IYY_tgx_IHuhSq3AJ5eI5OnqOPBNLWSHKh2a30DoXe8/edit?usp=sharing"",""พัทลุง!J393"")"),164)</f>
        <v>164</v>
      </c>
      <c r="K498" s="167">
        <f t="shared" ca="1" si="116"/>
        <v>88.648648648648646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IFERROR(__xludf.DUMMYFUNCTION("IMPORTRANGE(""https://docs.google.com/spreadsheets/d/1IYY_tgx_IHuhSq3AJ5eI5OnqOPBNLWSHKh2a30DoXe8/edit?usp=sharing"",""พัทลุง!J394"")"),42)</f>
        <v>42</v>
      </c>
      <c r="K499" s="208">
        <f t="shared" ca="1" si="116"/>
        <v>87.5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IFERROR(__xludf.DUMMYFUNCTION("IMPORTRANGE(""https://docs.google.com/spreadsheets/d/1IYY_tgx_IHuhSq3AJ5eI5OnqOPBNLWSHKh2a30DoXe8/edit?usp=sharing"",""พัทลุง!I395"")"),0)</f>
        <v>0</v>
      </c>
      <c r="J500" s="166">
        <f ca="1">IFERROR(__xludf.DUMMYFUNCTION("IMPORTRANGE(""https://docs.google.com/spreadsheets/d/1IYY_tgx_IHuhSq3AJ5eI5OnqOPBNLWSHKh2a30DoXe8/edit?usp=sharing"",""พัทลุง!J395"")"),164)</f>
        <v>164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IFERROR(__xludf.DUMMYFUNCTION("IMPORTRANGE(""https://docs.google.com/spreadsheets/d/1IYY_tgx_IHuhSq3AJ5eI5OnqOPBNLWSHKh2a30DoXe8/edit?usp=sharing"",""พัทลุง!I396"")"),0)</f>
        <v>0</v>
      </c>
      <c r="J501" s="166">
        <f ca="1">IFERROR(__xludf.DUMMYFUNCTION("IMPORTRANGE(""https://docs.google.com/spreadsheets/d/1IYY_tgx_IHuhSq3AJ5eI5OnqOPBNLWSHKh2a30DoXe8/edit?usp=sharing"",""พัทลุง!J396"")"),42)</f>
        <v>42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IFERROR(__xludf.DUMMYFUNCTION("IMPORTRANGE(""https://docs.google.com/spreadsheets/d/1IYY_tgx_IHuhSq3AJ5eI5OnqOPBNLWSHKh2a30DoXe8/edit?usp=sharing"",""พัทลุง!I397"")"),0)</f>
        <v>0</v>
      </c>
      <c r="J502" s="195">
        <f ca="1">IFERROR(__xludf.DUMMYFUNCTION("IMPORTRANGE(""https://docs.google.com/spreadsheets/d/1IYY_tgx_IHuhSq3AJ5eI5OnqOPBNLWSHKh2a30DoXe8/edit?usp=sharing"",""พัทลุง!J397"")"),164)</f>
        <v>164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IFERROR(__xludf.DUMMYFUNCTION("IMPORTRANGE(""https://docs.google.com/spreadsheets/d/1IYY_tgx_IHuhSq3AJ5eI5OnqOPBNLWSHKh2a30DoXe8/edit?usp=sharing"",""พัทลุง!I398"")"),0)</f>
        <v>0</v>
      </c>
      <c r="J503" s="204">
        <f ca="1">IFERROR(__xludf.DUMMYFUNCTION("IMPORTRANGE(""https://docs.google.com/spreadsheets/d/1IYY_tgx_IHuhSq3AJ5eI5OnqOPBNLWSHKh2a30DoXe8/edit?usp=sharing"",""พัทลุง!J398"")"),42)</f>
        <v>42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IFERROR(__xludf.DUMMYFUNCTION("IMPORTRANGE(""https://docs.google.com/spreadsheets/d/1IYY_tgx_IHuhSq3AJ5eI5OnqOPBNLWSHKh2a30DoXe8/edit?usp=sharing"",""พัทลุง!I399"")"),0)</f>
        <v>0</v>
      </c>
      <c r="J504" s="195">
        <f ca="1">IFERROR(__xludf.DUMMYFUNCTION("IMPORTRANGE(""https://docs.google.com/spreadsheets/d/1IYY_tgx_IHuhSq3AJ5eI5OnqOPBNLWSHKh2a30DoXe8/edit?usp=sharing"",""พัทลุง!J399"")"),0)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IFERROR(__xludf.DUMMYFUNCTION("IMPORTRANGE(""https://docs.google.com/spreadsheets/d/1IYY_tgx_IHuhSq3AJ5eI5OnqOPBNLWSHKh2a30DoXe8/edit?usp=sharing"",""พัทลุง!I400"")"),0)</f>
        <v>0</v>
      </c>
      <c r="J505" s="204">
        <f ca="1">IFERROR(__xludf.DUMMYFUNCTION("IMPORTRANGE(""https://docs.google.com/spreadsheets/d/1IYY_tgx_IHuhSq3AJ5eI5OnqOPBNLWSHKh2a30DoXe8/edit?usp=sharing"",""พัทลุง!J400"")"),0)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IFERROR(__xludf.DUMMYFUNCTION("IMPORTRANGE(""https://docs.google.com/spreadsheets/d/1IYY_tgx_IHuhSq3AJ5eI5OnqOPBNLWSHKh2a30DoXe8/edit?usp=sharing"",""พัทลุง!I401"")"),0)</f>
        <v>0</v>
      </c>
      <c r="J506" s="195">
        <f ca="1">IFERROR(__xludf.DUMMYFUNCTION("IMPORTRANGE(""https://docs.google.com/spreadsheets/d/1IYY_tgx_IHuhSq3AJ5eI5OnqOPBNLWSHKh2a30DoXe8/edit?usp=sharing"",""พัทลุง!J401"")"),0)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IFERROR(__xludf.DUMMYFUNCTION("IMPORTRANGE(""https://docs.google.com/spreadsheets/d/1IYY_tgx_IHuhSq3AJ5eI5OnqOPBNLWSHKh2a30DoXe8/edit?usp=sharing"",""พัทลุง!I402"")"),0)</f>
        <v>0</v>
      </c>
      <c r="J507" s="204">
        <f ca="1">IFERROR(__xludf.DUMMYFUNCTION("IMPORTRANGE(""https://docs.google.com/spreadsheets/d/1IYY_tgx_IHuhSq3AJ5eI5OnqOPBNLWSHKh2a30DoXe8/edit?usp=sharing"",""พัทลุง!J402"")"),0)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IFERROR(__xludf.DUMMYFUNCTION("IMPORTRANGE(""https://docs.google.com/spreadsheets/d/1IYY_tgx_IHuhSq3AJ5eI5OnqOPBNLWSHKh2a30DoXe8/edit?usp=sharing"",""พัทลุง!I403"")"),0)</f>
        <v>0</v>
      </c>
      <c r="J508" s="166">
        <f ca="1">IFERROR(__xludf.DUMMYFUNCTION("IMPORTRANGE(""https://docs.google.com/spreadsheets/d/1IYY_tgx_IHuhSq3AJ5eI5OnqOPBNLWSHKh2a30DoXe8/edit?usp=sharing"",""พัทลุง!J403"")"),0)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IFERROR(__xludf.DUMMYFUNCTION("IMPORTRANGE(""https://docs.google.com/spreadsheets/d/1IYY_tgx_IHuhSq3AJ5eI5OnqOPBNLWSHKh2a30DoXe8/edit?usp=sharing"",""พัทลุง!I404"")"),0)</f>
        <v>0</v>
      </c>
      <c r="J509" s="166">
        <f ca="1">IFERROR(__xludf.DUMMYFUNCTION("IMPORTRANGE(""https://docs.google.com/spreadsheets/d/1IYY_tgx_IHuhSq3AJ5eI5OnqOPBNLWSHKh2a30DoXe8/edit?usp=sharing"",""พัทลุง!J404"")"),0)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IFERROR(__xludf.DUMMYFUNCTION("IMPORTRANGE(""https://docs.google.com/spreadsheets/d/1IYY_tgx_IHuhSq3AJ5eI5OnqOPBNLWSHKh2a30DoXe8/edit?usp=sharing"",""พัทลุง!I405"")"),0)</f>
        <v>0</v>
      </c>
      <c r="J510" s="204">
        <f ca="1">IFERROR(__xludf.DUMMYFUNCTION("IMPORTRANGE(""https://docs.google.com/spreadsheets/d/1IYY_tgx_IHuhSq3AJ5eI5OnqOPBNLWSHKh2a30DoXe8/edit?usp=sharing"",""พัทลุง!J405"")"),0)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IFERROR(__xludf.DUMMYFUNCTION("IMPORTRANGE(""https://docs.google.com/spreadsheets/d/1IYY_tgx_IHuhSq3AJ5eI5OnqOPBNLWSHKh2a30DoXe8/edit?usp=sharing"",""พัทลุง!I406"")"),0)</f>
        <v>0</v>
      </c>
      <c r="J511" s="204">
        <f ca="1">IFERROR(__xludf.DUMMYFUNCTION("IMPORTRANGE(""https://docs.google.com/spreadsheets/d/1IYY_tgx_IHuhSq3AJ5eI5OnqOPBNLWSHKh2a30DoXe8/edit?usp=sharing"",""พัทลุง!J406"")"),0)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IFERROR(__xludf.DUMMYFUNCTION("IMPORTRANGE(""https://docs.google.com/spreadsheets/d/1IYY_tgx_IHuhSq3AJ5eI5OnqOPBNLWSHKh2a30DoXe8/edit?usp=sharing"",""พัทลุง!I407"")"),0)</f>
        <v>0</v>
      </c>
      <c r="J512" s="204">
        <f ca="1">IFERROR(__xludf.DUMMYFUNCTION("IMPORTRANGE(""https://docs.google.com/spreadsheets/d/1IYY_tgx_IHuhSq3AJ5eI5OnqOPBNLWSHKh2a30DoXe8/edit?usp=sharing"",""พัทลุง!J407"")"),0)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IFERROR(__xludf.DUMMYFUNCTION("IMPORTRANGE(""https://docs.google.com/spreadsheets/d/1IYY_tgx_IHuhSq3AJ5eI5OnqOPBNLWSHKh2a30DoXe8/edit?usp=sharing"",""พัทลุง!I408"")"),0)</f>
        <v>0</v>
      </c>
      <c r="J513" s="204">
        <f ca="1">IFERROR(__xludf.DUMMYFUNCTION("IMPORTRANGE(""https://docs.google.com/spreadsheets/d/1IYY_tgx_IHuhSq3AJ5eI5OnqOPBNLWSHKh2a30DoXe8/edit?usp=sharing"",""พัทลุง!J408"")"),0)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IFERROR(__xludf.DUMMYFUNCTION("IMPORTRANGE(""https://docs.google.com/spreadsheets/d/1IYY_tgx_IHuhSq3AJ5eI5OnqOPBNLWSHKh2a30DoXe8/edit?usp=sharing"",""พัทลุง!I409"")"),0)</f>
        <v>0</v>
      </c>
      <c r="J514" s="204">
        <f ca="1">IFERROR(__xludf.DUMMYFUNCTION("IMPORTRANGE(""https://docs.google.com/spreadsheets/d/1IYY_tgx_IHuhSq3AJ5eI5OnqOPBNLWSHKh2a30DoXe8/edit?usp=sharing"",""พัทลุง!J409"")"),0)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IFERROR(__xludf.DUMMYFUNCTION("IMPORTRANGE(""https://docs.google.com/spreadsheets/d/1IYY_tgx_IHuhSq3AJ5eI5OnqOPBNLWSHKh2a30DoXe8/edit?usp=sharing"",""พัทลุง!I410"")"),0)</f>
        <v>0</v>
      </c>
      <c r="J515" s="204">
        <f ca="1">IFERROR(__xludf.DUMMYFUNCTION("IMPORTRANGE(""https://docs.google.com/spreadsheets/d/1IYY_tgx_IHuhSq3AJ5eI5OnqOPBNLWSHKh2a30DoXe8/edit?usp=sharing"",""พัทลุง!J410"")"),0)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IFERROR(__xludf.DUMMYFUNCTION("IMPORTRANGE(""https://docs.google.com/spreadsheets/d/1IYY_tgx_IHuhSq3AJ5eI5OnqOPBNLWSHKh2a30DoXe8/edit?usp=sharing"",""พัทลุง!I411"")"),0)</f>
        <v>0</v>
      </c>
      <c r="J516" s="273">
        <f ca="1">IFERROR(__xludf.DUMMYFUNCTION("IMPORTRANGE(""https://docs.google.com/spreadsheets/d/1IYY_tgx_IHuhSq3AJ5eI5OnqOPBNLWSHKh2a30DoXe8/edit?usp=sharing"",""พัทลุง!J411"")"),0)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IFERROR(__xludf.DUMMYFUNCTION("IMPORTRANGE(""https://docs.google.com/spreadsheets/d/1IYY_tgx_IHuhSq3AJ5eI5OnqOPBNLWSHKh2a30DoXe8/edit?usp=sharing"",""พัทลุง!I414"")"),0)</f>
        <v>0</v>
      </c>
      <c r="J519" s="194">
        <f ca="1">IFERROR(__xludf.DUMMYFUNCTION("IMPORTRANGE(""https://docs.google.com/spreadsheets/d/1IYY_tgx_IHuhSq3AJ5eI5OnqOPBNLWSHKh2a30DoXe8/edit?usp=sharing"",""พัทลุง!J414"")"),0)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IFERROR(__xludf.DUMMYFUNCTION("IMPORTRANGE(""https://docs.google.com/spreadsheets/d/1IYY_tgx_IHuhSq3AJ5eI5OnqOPBNLWSHKh2a30DoXe8/edit?usp=sharing"",""พัทลุง!I415"")"),0)</f>
        <v>0</v>
      </c>
      <c r="J520" s="194">
        <f ca="1">IFERROR(__xludf.DUMMYFUNCTION("IMPORTRANGE(""https://docs.google.com/spreadsheets/d/1IYY_tgx_IHuhSq3AJ5eI5OnqOPBNLWSHKh2a30DoXe8/edit?usp=sharing"",""พัทลุง!J415"")"),0)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IFERROR(__xludf.DUMMYFUNCTION("IMPORTRANGE(""https://docs.google.com/spreadsheets/d/1IYY_tgx_IHuhSq3AJ5eI5OnqOPBNLWSHKh2a30DoXe8/edit?usp=sharing"",""พัทลุง!I416"")"),0)</f>
        <v>0</v>
      </c>
      <c r="J521" s="194">
        <f ca="1">IFERROR(__xludf.DUMMYFUNCTION("IMPORTRANGE(""https://docs.google.com/spreadsheets/d/1IYY_tgx_IHuhSq3AJ5eI5OnqOPBNLWSHKh2a30DoXe8/edit?usp=sharing"",""พัทลุง!J416"")"),0)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IFERROR(__xludf.DUMMYFUNCTION("IMPORTRANGE(""https://docs.google.com/spreadsheets/d/1IYY_tgx_IHuhSq3AJ5eI5OnqOPBNLWSHKh2a30DoXe8/edit?usp=sharing"",""พัทลุง!I417"")"),0)</f>
        <v>0</v>
      </c>
      <c r="J522" s="194">
        <f ca="1">IFERROR(__xludf.DUMMYFUNCTION("IMPORTRANGE(""https://docs.google.com/spreadsheets/d/1IYY_tgx_IHuhSq3AJ5eI5OnqOPBNLWSHKh2a30DoXe8/edit?usp=sharing"",""พัทลุง!J417"")"),0)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IFERROR(__xludf.DUMMYFUNCTION("IMPORTRANGE(""https://docs.google.com/spreadsheets/d/1IYY_tgx_IHuhSq3AJ5eI5OnqOPBNLWSHKh2a30DoXe8/edit?usp=sharing"",""พัทลุง!I418"")"),0)</f>
        <v>0</v>
      </c>
      <c r="J523" s="194">
        <f ca="1">IFERROR(__xludf.DUMMYFUNCTION("IMPORTRANGE(""https://docs.google.com/spreadsheets/d/1IYY_tgx_IHuhSq3AJ5eI5OnqOPBNLWSHKh2a30DoXe8/edit?usp=sharing"",""พัทลุง!J418"")"),29)</f>
        <v>29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IFERROR(__xludf.DUMMYFUNCTION("IMPORTRANGE(""https://docs.google.com/spreadsheets/d/1IYY_tgx_IHuhSq3AJ5eI5OnqOPBNLWSHKh2a30DoXe8/edit?usp=sharing"",""พัทลุง!I419"")"),0)</f>
        <v>0</v>
      </c>
      <c r="J524" s="194">
        <f ca="1">IFERROR(__xludf.DUMMYFUNCTION("IMPORTRANGE(""https://docs.google.com/spreadsheets/d/1IYY_tgx_IHuhSq3AJ5eI5OnqOPBNLWSHKh2a30DoXe8/edit?usp=sharing"",""พัทลุง!J419"")"),10)</f>
        <v>10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IFERROR(__xludf.DUMMYFUNCTION("IMPORTRANGE(""https://docs.google.com/spreadsheets/d/1IYY_tgx_IHuhSq3AJ5eI5OnqOPBNLWSHKh2a30DoXe8/edit?usp=sharing"",""พัทลุง!I422"")"),0)</f>
        <v>0</v>
      </c>
      <c r="J527" s="204">
        <f ca="1">IFERROR(__xludf.DUMMYFUNCTION("IMPORTRANGE(""https://docs.google.com/spreadsheets/d/1IYY_tgx_IHuhSq3AJ5eI5OnqOPBNLWSHKh2a30DoXe8/edit?usp=sharing"",""พัทลุง!J422"")"),0)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IFERROR(__xludf.DUMMYFUNCTION("IMPORTRANGE(""https://docs.google.com/spreadsheets/d/1IYY_tgx_IHuhSq3AJ5eI5OnqOPBNLWSHKh2a30DoXe8/edit?usp=sharing"",""พัทลุง!I423"")"),0)</f>
        <v>0</v>
      </c>
      <c r="J528" s="204">
        <f ca="1">IFERROR(__xludf.DUMMYFUNCTION("IMPORTRANGE(""https://docs.google.com/spreadsheets/d/1IYY_tgx_IHuhSq3AJ5eI5OnqOPBNLWSHKh2a30DoXe8/edit?usp=sharing"",""พัทลุง!J423"")"),0)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IFERROR(__xludf.DUMMYFUNCTION("IMPORTRANGE(""https://docs.google.com/spreadsheets/d/1IYY_tgx_IHuhSq3AJ5eI5OnqOPBNLWSHKh2a30DoXe8/edit?usp=sharing"",""พัทลุง!I424"")"),0)</f>
        <v>0</v>
      </c>
      <c r="J529" s="204">
        <f ca="1">IFERROR(__xludf.DUMMYFUNCTION("IMPORTRANGE(""https://docs.google.com/spreadsheets/d/1IYY_tgx_IHuhSq3AJ5eI5OnqOPBNLWSHKh2a30DoXe8/edit?usp=sharing"",""พัทลุง!J424"")"),0)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IFERROR(__xludf.DUMMYFUNCTION("IMPORTRANGE(""https://docs.google.com/spreadsheets/d/1IYY_tgx_IHuhSq3AJ5eI5OnqOPBNLWSHKh2a30DoXe8/edit?usp=sharing"",""พัทลุง!I425"")"),0)</f>
        <v>0</v>
      </c>
      <c r="J530" s="204">
        <f ca="1">IFERROR(__xludf.DUMMYFUNCTION("IMPORTRANGE(""https://docs.google.com/spreadsheets/d/1IYY_tgx_IHuhSq3AJ5eI5OnqOPBNLWSHKh2a30DoXe8/edit?usp=sharing"",""พัทลุง!J425"")"),0)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IFERROR(__xludf.DUMMYFUNCTION("IMPORTRANGE(""https://docs.google.com/spreadsheets/d/1IYY_tgx_IHuhSq3AJ5eI5OnqOPBNLWSHKh2a30DoXe8/edit?usp=sharing"",""พัทลุง!I426"")"),0)</f>
        <v>0</v>
      </c>
      <c r="J531" s="204">
        <f ca="1">IFERROR(__xludf.DUMMYFUNCTION("IMPORTRANGE(""https://docs.google.com/spreadsheets/d/1IYY_tgx_IHuhSq3AJ5eI5OnqOPBNLWSHKh2a30DoXe8/edit?usp=sharing"",""พัทลุง!J426"")"),0)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IFERROR(__xludf.DUMMYFUNCTION("IMPORTRANGE(""https://docs.google.com/spreadsheets/d/1IYY_tgx_IHuhSq3AJ5eI5OnqOPBNLWSHKh2a30DoXe8/edit?usp=sharing"",""พัทลุง!M428"")"),22310)</f>
        <v>22310</v>
      </c>
      <c r="O533" s="418">
        <f t="shared" ref="O533:O537" ca="1" si="117">+IF(L533&gt;0,N533*100/L533,0)</f>
        <v>68.351715686274517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IFERROR(__xludf.DUMMYFUNCTION("IMPORTRANGE(""https://docs.google.com/spreadsheets/d/1IYY_tgx_IHuhSq3AJ5eI5OnqOPBNLWSHKh2a30DoXe8/edit?usp=sharing"",""พัทลุง!L429"")"),0)</f>
        <v>0</v>
      </c>
      <c r="M534" s="168"/>
      <c r="N534" s="175">
        <f ca="1">IFERROR(__xludf.DUMMYFUNCTION("IMPORTRANGE(""https://docs.google.com/spreadsheets/d/1IYY_tgx_IHuhSq3AJ5eI5OnqOPBNLWSHKh2a30DoXe8/edit?usp=sharing"",""พัทลุง!M429"")"),0)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IFERROR(__xludf.DUMMYFUNCTION("IMPORTRANGE(""https://docs.google.com/spreadsheets/d/1IYY_tgx_IHuhSq3AJ5eI5OnqOPBNLWSHKh2a30DoXe8/edit?usp=sharing"",""พัทลุง!L430"")"),32640)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IFERROR(__xludf.DUMMYFUNCTION("IMPORTRANGE(""https://docs.google.com/spreadsheets/d/1IYY_tgx_IHuhSq3AJ5eI5OnqOPBNLWSHKh2a30DoXe8/edit?usp=sharing"",""พัทลุง!M430"")"),22310)</f>
        <v>22310</v>
      </c>
      <c r="O535" s="175">
        <f t="shared" ca="1" si="117"/>
        <v>68.351715686274517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IFERROR(__xludf.DUMMYFUNCTION("IMPORTRANGE(""https://docs.google.com/spreadsheets/d/1IYY_tgx_IHuhSq3AJ5eI5OnqOPBNLWSHKh2a30DoXe8/edit?usp=sharing"",""พัทลุง!L431"")"),0)</f>
        <v>0</v>
      </c>
      <c r="M536" s="175"/>
      <c r="N536" s="175">
        <f ca="1">IFERROR(__xludf.DUMMYFUNCTION("IMPORTRANGE(""https://docs.google.com/spreadsheets/d/1IYY_tgx_IHuhSq3AJ5eI5OnqOPBNLWSHKh2a30DoXe8/edit?usp=sharing"",""พัทลุง!M431"")"),0)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IFERROR(__xludf.DUMMYFUNCTION("IMPORTRANGE(""https://docs.google.com/spreadsheets/d/1IYY_tgx_IHuhSq3AJ5eI5OnqOPBNLWSHKh2a30DoXe8/edit?usp=sharing"",""พัทลุง!L432"")"),32640)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IFERROR(__xludf.DUMMYFUNCTION("IMPORTRANGE(""https://docs.google.com/spreadsheets/d/1IYY_tgx_IHuhSq3AJ5eI5OnqOPBNLWSHKh2a30DoXe8/edit?usp=sharing"",""พัทลุง!M432"")"),22310)</f>
        <v>22310</v>
      </c>
      <c r="O537" s="175">
        <f t="shared" ca="1" si="117"/>
        <v>68.351715686274517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IFERROR(__xludf.DUMMYFUNCTION("IMPORTRANGE(""https://docs.google.com/spreadsheets/d/1IYY_tgx_IHuhSq3AJ5eI5OnqOPBNLWSHKh2a30DoXe8/edit?usp=sharing"",""พัทลุง!M433"")"),14560)</f>
        <v>14560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IFERROR(__xludf.DUMMYFUNCTION("IMPORTRANGE(""https://docs.google.com/spreadsheets/d/1IYY_tgx_IHuhSq3AJ5eI5OnqOPBNLWSHKh2a30DoXe8/edit?usp=sharing"",""พัทลุง!M436"")"),7750)</f>
        <v>7750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IFERROR(__xludf.DUMMYFUNCTION("IMPORTRANGE(""https://docs.google.com/spreadsheets/d/1IYY_tgx_IHuhSq3AJ5eI5OnqOPBNLWSHKh2a30DoXe8/edit?usp=sharing"",""พัทลุง!J438"")"),0)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IFERROR(__xludf.DUMMYFUNCTION("IMPORTRANGE(""https://docs.google.com/spreadsheets/d/1IYY_tgx_IHuhSq3AJ5eI5OnqOPBNLWSHKh2a30DoXe8/edit?usp=sharing"",""พัทลุง!J439"")"),1)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IFERROR(__xludf.DUMMYFUNCTION("IMPORTRANGE(""https://docs.google.com/spreadsheets/d/1IYY_tgx_IHuhSq3AJ5eI5OnqOPBNLWSHKh2a30DoXe8/edit?usp=sharing"",""พัทลุง!J440"")"),1)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IFERROR(__xludf.DUMMYFUNCTION("IMPORTRANGE(""https://docs.google.com/spreadsheets/d/1IYY_tgx_IHuhSq3AJ5eI5OnqOPBNLWSHKh2a30DoXe8/edit?usp=sharing"",""พัทลุง!J441"")"),1)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IFERROR(__xludf.DUMMYFUNCTION("IMPORTRANGE(""https://docs.google.com/spreadsheets/d/1IYY_tgx_IHuhSq3AJ5eI5OnqOPBNLWSHKh2a30DoXe8/edit?usp=sharing"",""พัทลุง!I442"")"),20)</f>
        <v>20</v>
      </c>
      <c r="J547" s="195">
        <f ca="1">IFERROR(__xludf.DUMMYFUNCTION("IMPORTRANGE(""https://docs.google.com/spreadsheets/d/1IYY_tgx_IHuhSq3AJ5eI5OnqOPBNLWSHKh2a30DoXe8/edit?usp=sharing"",""พัทลุง!J442"")"),20)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IFERROR(__xludf.DUMMYFUNCTION("IMPORTRANGE(""https://docs.google.com/spreadsheets/d/1IYY_tgx_IHuhSq3AJ5eI5OnqOPBNLWSHKh2a30DoXe8/edit?usp=sharing"",""พัทลุง!J166"")"),0)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IFERROR(__xludf.DUMMYFUNCTION("IMPORTRANGE(""https://docs.google.com/spreadsheets/d/1IYY_tgx_IHuhSq3AJ5eI5OnqOPBNLWSHKh2a30DoXe8/edit?usp=sharing"",""พัทลุง!J444"")"),0)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IFERROR(__xludf.DUMMYFUNCTION("IMPORTRANGE(""https://docs.google.com/spreadsheets/d/1IYY_tgx_IHuhSq3AJ5eI5OnqOPBNLWSHKh2a30DoXe8/edit?usp=sharing"",""พัทลุง!L447"")"),0)</f>
        <v>0</v>
      </c>
      <c r="M552" s="168"/>
      <c r="N552" s="175">
        <f ca="1">IFERROR(__xludf.DUMMYFUNCTION("IMPORTRANGE(""https://docs.google.com/spreadsheets/d/1IYY_tgx_IHuhSq3AJ5eI5OnqOPBNLWSHKh2a30DoXe8/edit?usp=sharing"",""พัทลุง!M447"")"),0)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5">
        <f ca="1">IFERROR(__xludf.DUMMYFUNCTION("IMPORTRANGE(""https://docs.google.com/spreadsheets/d/1IYY_tgx_IHuhSq3AJ5eI5OnqOPBNLWSHKh2a30DoXe8/edit?usp=sharing"",""พัทลุง!M448"")"),0)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IFERROR(__xludf.DUMMYFUNCTION("IMPORTRANGE(""https://docs.google.com/spreadsheets/d/1IYY_tgx_IHuhSq3AJ5eI5OnqOPBNLWSHKh2a30DoXe8/edit?usp=sharing"",""พัทลุง!L449"")"),0)</f>
        <v>0</v>
      </c>
      <c r="M554" s="175"/>
      <c r="N554" s="175">
        <f ca="1">IFERROR(__xludf.DUMMYFUNCTION("IMPORTRANGE(""https://docs.google.com/spreadsheets/d/1IYY_tgx_IHuhSq3AJ5eI5OnqOPBNLWSHKh2a30DoXe8/edit?usp=sharing"",""พัทลุง!M449"")"),0)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IFERROR(__xludf.DUMMYFUNCTION("IMPORTRANGE(""https://docs.google.com/spreadsheets/d/1IYY_tgx_IHuhSq3AJ5eI5OnqOPBNLWSHKh2a30DoXe8/edit?usp=sharing"",""พัทลุง!L450"")"),0)</f>
        <v>0</v>
      </c>
      <c r="M555" s="175"/>
      <c r="N555" s="175">
        <f ca="1">IFERROR(__xludf.DUMMYFUNCTION("IMPORTRANGE(""https://docs.google.com/spreadsheets/d/1IYY_tgx_IHuhSq3AJ5eI5OnqOPBNLWSHKh2a30DoXe8/edit?usp=sharing"",""พัทลุง!M450"")"),0)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IFERROR(__xludf.DUMMYFUNCTION("IMPORTRANGE(""https://docs.google.com/spreadsheets/d/1IYY_tgx_IHuhSq3AJ5eI5OnqOPBNLWSHKh2a30DoXe8/edit?usp=sharing"",""พัทลุง!M451"")"),0)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IFERROR(__xludf.DUMMYFUNCTION("IMPORTRANGE(""https://docs.google.com/spreadsheets/d/1IYY_tgx_IHuhSq3AJ5eI5OnqOPBNLWSHKh2a30DoXe8/edit?usp=sharing"",""พัทลุง!M452"")"),0)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IFERROR(__xludf.DUMMYFUNCTION("IMPORTRANGE(""https://docs.google.com/spreadsheets/d/1IYY_tgx_IHuhSq3AJ5eI5OnqOPBNLWSHKh2a30DoXe8/edit?usp=sharing"",""พัทลุง!M453"")"),0)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IFERROR(__xludf.DUMMYFUNCTION("IMPORTRANGE(""https://docs.google.com/spreadsheets/d/1IYY_tgx_IHuhSq3AJ5eI5OnqOPBNLWSHKh2a30DoXe8/edit?usp=sharing"",""พัทลุง!M454"")"),0)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IFERROR(__xludf.DUMMYFUNCTION("IMPORTRANGE(""https://docs.google.com/spreadsheets/d/1IYY_tgx_IHuhSq3AJ5eI5OnqOPBNLWSHKh2a30DoXe8/edit?usp=sharing"",""พัทลุง!I455"")"),0)</f>
        <v>0</v>
      </c>
      <c r="J560" s="166">
        <f ca="1">IFERROR(__xludf.DUMMYFUNCTION("IMPORTRANGE(""https://docs.google.com/spreadsheets/d/1IYY_tgx_IHuhSq3AJ5eI5OnqOPBNLWSHKh2a30DoXe8/edit?usp=sharing"",""พัทลุง!J455"")"),0)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IFERROR(__xludf.DUMMYFUNCTION("IMPORTRANGE(""https://docs.google.com/spreadsheets/d/1IYY_tgx_IHuhSq3AJ5eI5OnqOPBNLWSHKh2a30DoXe8/edit?usp=sharing"",""พัทลุง!I456"")"),0)</f>
        <v>0</v>
      </c>
      <c r="J561" s="210">
        <f ca="1">IFERROR(__xludf.DUMMYFUNCTION("IMPORTRANGE(""https://docs.google.com/spreadsheets/d/1IYY_tgx_IHuhSq3AJ5eI5OnqOPBNLWSHKh2a30DoXe8/edit?usp=sharing"",""พัทลุง!J456"")"),0)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IFERROR(__xludf.DUMMYFUNCTION("IMPORTRANGE(""https://docs.google.com/spreadsheets/d/1IYY_tgx_IHuhSq3AJ5eI5OnqOPBNLWSHKh2a30DoXe8/edit?usp=sharing"",""พัทลุง!J459"")"),2432)</f>
        <v>2432</v>
      </c>
      <c r="K564" s="378">
        <f ca="1">IF(I564&gt;0,J564*100/I564,0)</f>
        <v>211.47826086956522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IFERROR(__xludf.DUMMYFUNCTION("IMPORTRANGE(""https://docs.google.com/spreadsheets/d/1IYY_tgx_IHuhSq3AJ5eI5OnqOPBNLWSHKh2a30DoXe8/edit?usp=sharing"",""พัทลุง!M459"")"),111041.44)</f>
        <v>111041.44</v>
      </c>
      <c r="O564" s="379">
        <f t="shared" ref="O564:O568" ca="1" si="121">+IF(L564&gt;0,N564*100/L564,0)</f>
        <v>92.288430851063836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IFERROR(__xludf.DUMMYFUNCTION("IMPORTRANGE(""https://docs.google.com/spreadsheets/d/1IYY_tgx_IHuhSq3AJ5eI5OnqOPBNLWSHKh2a30DoXe8/edit?usp=sharing"",""พัทลุง!L460"")"),0)</f>
        <v>0</v>
      </c>
      <c r="M565" s="168"/>
      <c r="N565" s="175">
        <f ca="1">IFERROR(__xludf.DUMMYFUNCTION("IMPORTRANGE(""https://docs.google.com/spreadsheets/d/1IYY_tgx_IHuhSq3AJ5eI5OnqOPBNLWSHKh2a30DoXe8/edit?usp=sharing"",""พัทลุง!M460"")"),0)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5">
        <f ca="1">IFERROR(__xludf.DUMMYFUNCTION("IMPORTRANGE(""https://docs.google.com/spreadsheets/d/1IYY_tgx_IHuhSq3AJ5eI5OnqOPBNLWSHKh2a30DoXe8/edit?usp=sharing"",""พัทลุง!M461"")"),111041.44)</f>
        <v>111041.44</v>
      </c>
      <c r="O566" s="175">
        <f t="shared" ca="1" si="121"/>
        <v>92.288430851063836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IFERROR(__xludf.DUMMYFUNCTION("IMPORTRANGE(""https://docs.google.com/spreadsheets/d/1IYY_tgx_IHuhSq3AJ5eI5OnqOPBNLWSHKh2a30DoXe8/edit?usp=sharing"",""พัทลุง!L462"")"),0)</f>
        <v>0</v>
      </c>
      <c r="M567" s="175"/>
      <c r="N567" s="175">
        <f ca="1">IFERROR(__xludf.DUMMYFUNCTION("IMPORTRANGE(""https://docs.google.com/spreadsheets/d/1IYY_tgx_IHuhSq3AJ5eI5OnqOPBNLWSHKh2a30DoXe8/edit?usp=sharing"",""พัทลุง!M462"")"),0)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IFERROR(__xludf.DUMMYFUNCTION("IMPORTRANGE(""https://docs.google.com/spreadsheets/d/1IYY_tgx_IHuhSq3AJ5eI5OnqOPBNLWSHKh2a30DoXe8/edit?usp=sharing"",""พัทลุง!L463"")"),120320)</f>
        <v>120320</v>
      </c>
      <c r="M568" s="175"/>
      <c r="N568" s="175">
        <f ca="1">IFERROR(__xludf.DUMMYFUNCTION("IMPORTRANGE(""https://docs.google.com/spreadsheets/d/1IYY_tgx_IHuhSq3AJ5eI5OnqOPBNLWSHKh2a30DoXe8/edit?usp=sharing"",""พัทลุง!M463"")"),111041.44)</f>
        <v>111041.44</v>
      </c>
      <c r="O568" s="175">
        <f t="shared" ca="1" si="121"/>
        <v>92.288430851063836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IFERROR(__xludf.DUMMYFUNCTION("IMPORTRANGE(""https://docs.google.com/spreadsheets/d/1IYY_tgx_IHuhSq3AJ5eI5OnqOPBNLWSHKh2a30DoXe8/edit?usp=sharing"",""พัทลุง!M464"")"),0)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IFERROR(__xludf.DUMMYFUNCTION("IMPORTRANGE(""https://docs.google.com/spreadsheets/d/1IYY_tgx_IHuhSq3AJ5eI5OnqOPBNLWSHKh2a30DoXe8/edit?usp=sharing"",""พัทลุง!M465"")"),0)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IFERROR(__xludf.DUMMYFUNCTION("IMPORTRANGE(""https://docs.google.com/spreadsheets/d/1IYY_tgx_IHuhSq3AJ5eI5OnqOPBNLWSHKh2a30DoXe8/edit?usp=sharing"",""พัทลุง!M466"")"),91501.44)</f>
        <v>91501.440000000002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IFERROR(__xludf.DUMMYFUNCTION("IMPORTRANGE(""https://docs.google.com/spreadsheets/d/1IYY_tgx_IHuhSq3AJ5eI5OnqOPBNLWSHKh2a30DoXe8/edit?usp=sharing"",""พัทลุง!M467"")"),19540)</f>
        <v>19540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IFERROR(__xludf.DUMMYFUNCTION("IMPORTRANGE(""https://docs.google.com/spreadsheets/d/1IYY_tgx_IHuhSq3AJ5eI5OnqOPBNLWSHKh2a30DoXe8/edit?usp=sharing"",""พัทลุง!J468"")"),2432)</f>
        <v>2432</v>
      </c>
      <c r="K573" s="208">
        <f ca="1">IF(I573&gt;0,J573*100/I573,0)</f>
        <v>211.47826086956522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IFERROR(__xludf.DUMMYFUNCTION("IMPORTRANGE(""https://docs.google.com/spreadsheets/d/1IYY_tgx_IHuhSq3AJ5eI5OnqOPBNLWSHKh2a30DoXe8/edit?usp=sharing"",""พัทลุง!I470"")"),0)</f>
        <v>0</v>
      </c>
      <c r="J575" s="204">
        <f ca="1">IFERROR(__xludf.DUMMYFUNCTION("IMPORTRANGE(""https://docs.google.com/spreadsheets/d/1IYY_tgx_IHuhSq3AJ5eI5OnqOPBNLWSHKh2a30DoXe8/edit?usp=sharing"",""พัทลุง!J470"")"),4)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IFERROR(__xludf.DUMMYFUNCTION("IMPORTRANGE(""https://docs.google.com/spreadsheets/d/1IYY_tgx_IHuhSq3AJ5eI5OnqOPBNLWSHKh2a30DoXe8/edit?usp=sharing"",""พัทลุง!I471"")"),0)</f>
        <v>0</v>
      </c>
      <c r="J576" s="204">
        <f ca="1">IFERROR(__xludf.DUMMYFUNCTION("IMPORTRANGE(""https://docs.google.com/spreadsheets/d/1IYY_tgx_IHuhSq3AJ5eI5OnqOPBNLWSHKh2a30DoXe8/edit?usp=sharing"",""พัทลุง!J471"")"),100)</f>
        <v>100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IFERROR(__xludf.DUMMYFUNCTION("IMPORTRANGE(""https://docs.google.com/spreadsheets/d/1IYY_tgx_IHuhSq3AJ5eI5OnqOPBNLWSHKh2a30DoXe8/edit?usp=sharing"",""พัทลุง!I472"")"),0)</f>
        <v>0</v>
      </c>
      <c r="J577" s="195">
        <f ca="1">IFERROR(__xludf.DUMMYFUNCTION("IMPORTRANGE(""https://docs.google.com/spreadsheets/d/1IYY_tgx_IHuhSq3AJ5eI5OnqOPBNLWSHKh2a30DoXe8/edit?usp=sharing"",""พัทลุง!J472"")"),2332)</f>
        <v>2332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IFERROR(__xludf.DUMMYFUNCTION("IMPORTRANGE(""https://docs.google.com/spreadsheets/d/1IYY_tgx_IHuhSq3AJ5eI5OnqOPBNLWSHKh2a30DoXe8/edit?usp=sharing"",""พัทลุง!I473"")"),0)</f>
        <v>0</v>
      </c>
      <c r="J578" s="204">
        <f ca="1">IFERROR(__xludf.DUMMYFUNCTION("IMPORTRANGE(""https://docs.google.com/spreadsheets/d/1IYY_tgx_IHuhSq3AJ5eI5OnqOPBNLWSHKh2a30DoXe8/edit?usp=sharing"",""พัทลุง!J473"")"),0)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IFERROR(__xludf.DUMMYFUNCTION("IMPORTRANGE(""https://docs.google.com/spreadsheets/d/1IYY_tgx_IHuhSq3AJ5eI5OnqOPBNLWSHKh2a30DoXe8/edit?usp=sharing"",""พัทลุง!I474"")"),0)</f>
        <v>0</v>
      </c>
      <c r="J579" s="204">
        <f ca="1">IFERROR(__xludf.DUMMYFUNCTION("IMPORTRANGE(""https://docs.google.com/spreadsheets/d/1IYY_tgx_IHuhSq3AJ5eI5OnqOPBNLWSHKh2a30DoXe8/edit?usp=sharing"",""พัทลุง!J474"")"),0)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IFERROR(__xludf.DUMMYFUNCTION("IMPORTRANGE(""https://docs.google.com/spreadsheets/d/1IYY_tgx_IHuhSq3AJ5eI5OnqOPBNLWSHKh2a30DoXe8/edit?usp=sharing"",""พัทลุง!I475"")"),47)</f>
        <v>47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IFERROR(__xludf.DUMMYFUNCTION("IMPORTRANGE(""https://docs.google.com/spreadsheets/d/1IYY_tgx_IHuhSq3AJ5eI5OnqOPBNLWSHKh2a30DoXe8/edit?usp=sharing"",""พัทลุง!L476"")"),0)</f>
        <v>0</v>
      </c>
      <c r="M581" s="168"/>
      <c r="N581" s="175">
        <f ca="1">IFERROR(__xludf.DUMMYFUNCTION("IMPORTRANGE(""https://docs.google.com/spreadsheets/d/1IYY_tgx_IHuhSq3AJ5eI5OnqOPBNLWSHKh2a30DoXe8/edit?usp=sharing"",""พัทลุง!M476"")"),0)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5">
        <f ca="1">IFERROR(__xludf.DUMMYFUNCTION("IMPORTRANGE(""https://docs.google.com/spreadsheets/d/1IYY_tgx_IHuhSq3AJ5eI5OnqOPBNLWSHKh2a30DoXe8/edit?usp=sharing"",""พัทลุง!M477"")"),0)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IFERROR(__xludf.DUMMYFUNCTION("IMPORTRANGE(""https://docs.google.com/spreadsheets/d/1IYY_tgx_IHuhSq3AJ5eI5OnqOPBNLWSHKh2a30DoXe8/edit?usp=sharing"",""พัทลุง!L478"")"),0)</f>
        <v>0</v>
      </c>
      <c r="M583" s="175"/>
      <c r="N583" s="175">
        <f ca="1">IFERROR(__xludf.DUMMYFUNCTION("IMPORTRANGE(""https://docs.google.com/spreadsheets/d/1IYY_tgx_IHuhSq3AJ5eI5OnqOPBNLWSHKh2a30DoXe8/edit?usp=sharing"",""พัทลุง!M478"")"),0)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IFERROR(__xludf.DUMMYFUNCTION("IMPORTRANGE(""https://docs.google.com/spreadsheets/d/1IYY_tgx_IHuhSq3AJ5eI5OnqOPBNLWSHKh2a30DoXe8/edit?usp=sharing"",""พัทลุง!L479"")"),143795)</f>
        <v>143795</v>
      </c>
      <c r="M584" s="175"/>
      <c r="N584" s="175">
        <f ca="1">IFERROR(__xludf.DUMMYFUNCTION("IMPORTRANGE(""https://docs.google.com/spreadsheets/d/1IYY_tgx_IHuhSq3AJ5eI5OnqOPBNLWSHKh2a30DoXe8/edit?usp=sharing"",""พัทลุง!M479"")"),0)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IFERROR(__xludf.DUMMYFUNCTION("IMPORTRANGE(""https://docs.google.com/spreadsheets/d/1IYY_tgx_IHuhSq3AJ5eI5OnqOPBNLWSHKh2a30DoXe8/edit?usp=sharing"",""พัทลุง!M480"")"),0)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IFERROR(__xludf.DUMMYFUNCTION("IMPORTRANGE(""https://docs.google.com/spreadsheets/d/1IYY_tgx_IHuhSq3AJ5eI5OnqOPBNLWSHKh2a30DoXe8/edit?usp=sharing"",""พัทลุง!M481"")"),0)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IFERROR(__xludf.DUMMYFUNCTION("IMPORTRANGE(""https://docs.google.com/spreadsheets/d/1IYY_tgx_IHuhSq3AJ5eI5OnqOPBNLWSHKh2a30DoXe8/edit?usp=sharing"",""พัทลุง!M482"")"),0)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IFERROR(__xludf.DUMMYFUNCTION("IMPORTRANGE(""https://docs.google.com/spreadsheets/d/1IYY_tgx_IHuhSq3AJ5eI5OnqOPBNLWSHKh2a30DoXe8/edit?usp=sharing"",""พัทลุง!M483"")"),0)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IFERROR(__xludf.DUMMYFUNCTION("IMPORTRANGE(""https://docs.google.com/spreadsheets/d/1IYY_tgx_IHuhSq3AJ5eI5OnqOPBNLWSHKh2a30DoXe8/edit?usp=sharing"",""พัทลุง!I484"")"),47)</f>
        <v>47</v>
      </c>
      <c r="J589" s="194">
        <f ca="1">IFERROR(__xludf.DUMMYFUNCTION("IMPORTRANGE(""https://docs.google.com/spreadsheets/d/1IYY_tgx_IHuhSq3AJ5eI5OnqOPBNLWSHKh2a30DoXe8/edit?usp=sharing"",""พัทลุง!J484"")"),0)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4">
        <f ca="1">IFERROR(__xludf.DUMMYFUNCTION("IMPORTRANGE(""https://docs.google.com/spreadsheets/d/1IYY_tgx_IHuhSq3AJ5eI5OnqOPBNLWSHKh2a30DoXe8/edit?usp=sharing"",""พัทลุง!J485"")"),0)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IFERROR(__xludf.DUMMYFUNCTION("IMPORTRANGE(""https://docs.google.com/spreadsheets/d/1IYY_tgx_IHuhSq3AJ5eI5OnqOPBNLWSHKh2a30DoXe8/edit?usp=sharing"",""พัทลุง!I486"")"),47)</f>
        <v>47</v>
      </c>
      <c r="J591" s="194">
        <f ca="1">IFERROR(__xludf.DUMMYFUNCTION("IMPORTRANGE(""https://docs.google.com/spreadsheets/d/1IYY_tgx_IHuhSq3AJ5eI5OnqOPBNLWSHKh2a30DoXe8/edit?usp=sharing"",""พัทลุง!J486"")"),1)</f>
        <v>1</v>
      </c>
      <c r="K591" s="167">
        <f t="shared" ca="1" si="124"/>
        <v>2.1276595744680851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4">
        <f ca="1">IFERROR(__xludf.DUMMYFUNCTION("IMPORTRANGE(""https://docs.google.com/spreadsheets/d/1IYY_tgx_IHuhSq3AJ5eI5OnqOPBNLWSHKh2a30DoXe8/edit?usp=sharing"",""พัทลุง!J487"")"),0.75)</f>
        <v>0.75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IFERROR(__xludf.DUMMYFUNCTION("IMPORTRANGE(""https://docs.google.com/spreadsheets/d/1IYY_tgx_IHuhSq3AJ5eI5OnqOPBNLWSHKh2a30DoXe8/edit?usp=sharing"",""พัทลุง!I488"")"),47)</f>
        <v>47</v>
      </c>
      <c r="J593" s="194">
        <f ca="1">IFERROR(__xludf.DUMMYFUNCTION("IMPORTRANGE(""https://docs.google.com/spreadsheets/d/1IYY_tgx_IHuhSq3AJ5eI5OnqOPBNLWSHKh2a30DoXe8/edit?usp=sharing"",""พัทลุง!J488"")"),0)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4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IFERROR(__xludf.DUMMYFUNCTION("IMPORTRANGE(""https://docs.google.com/spreadsheets/d/1IYY_tgx_IHuhSq3AJ5eI5OnqOPBNLWSHKh2a30DoXe8/edit?usp=sharing"",""พัทลุง!I490"")"),47)</f>
        <v>47</v>
      </c>
      <c r="J595" s="194">
        <f ca="1">IFERROR(__xludf.DUMMYFUNCTION("IMPORTRANGE(""https://docs.google.com/spreadsheets/d/1IYY_tgx_IHuhSq3AJ5eI5OnqOPBNLWSHKh2a30DoXe8/edit?usp=sharing"",""พัทลุง!J490"")"),0)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IFERROR(__xludf.DUMMYFUNCTION("IMPORTRANGE(""https://docs.google.com/spreadsheets/d/1IYY_tgx_IHuhSq3AJ5eI5OnqOPBNLWSHKh2a30DoXe8/edit?usp=sharing"",""พัทลุง!I491"")"),0)</f>
        <v>0</v>
      </c>
      <c r="J596" s="247">
        <f ca="1">IFERROR(__xludf.DUMMYFUNCTION("IMPORTRANGE(""https://docs.google.com/spreadsheets/d/1IYY_tgx_IHuhSq3AJ5eI5OnqOPBNLWSHKh2a30DoXe8/edit?usp=sharing"",""พัทลุง!J491"")"),0)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4">
        <f ca="1">IFERROR(__xludf.DUMMYFUNCTION("IMPORTRANGE(""https://docs.google.com/spreadsheets/d/1IYY_tgx_IHuhSq3AJ5eI5OnqOPBNLWSHKh2a30DoXe8/edit?usp=sharing"",""พัทลุง!J492"")"),30)</f>
        <v>30</v>
      </c>
      <c r="K597" s="417">
        <f ca="1">IF(I597&gt;0,J597*100/I597,0)</f>
        <v>60</v>
      </c>
      <c r="L597" s="418">
        <f ca="1">IFERROR(__xludf.DUMMYFUNCTION("IMPORTRANGE(""https://docs.google.com/spreadsheets/d/1IYY_tgx_IHuhSq3AJ5eI5OnqOPBNLWSHKh2a30DoXe8/edit?usp=sharing"",""พัทลุง!L492"")"),4550)</f>
        <v>4550</v>
      </c>
      <c r="M597" s="418"/>
      <c r="N597" s="418">
        <f ca="1">IFERROR(__xludf.DUMMYFUNCTION("IMPORTRANGE(""https://docs.google.com/spreadsheets/d/1IYY_tgx_IHuhSq3AJ5eI5OnqOPBNLWSHKh2a30DoXe8/edit?usp=sharing"",""พัทลุง!M492"")"),5945)</f>
        <v>5945</v>
      </c>
      <c r="O597" s="418">
        <f t="shared" ref="O597:O601" ca="1" si="125">+IF(L597&gt;0,N597*100/L597,0)</f>
        <v>130.65934065934067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IFERROR(__xludf.DUMMYFUNCTION("IMPORTRANGE(""https://docs.google.com/spreadsheets/d/1IYY_tgx_IHuhSq3AJ5eI5OnqOPBNLWSHKh2a30DoXe8/edit?usp=sharing"",""พัทลุง!L493"")"),0)</f>
        <v>0</v>
      </c>
      <c r="M598" s="168"/>
      <c r="N598" s="175">
        <f ca="1">IFERROR(__xludf.DUMMYFUNCTION("IMPORTRANGE(""https://docs.google.com/spreadsheets/d/1IYY_tgx_IHuhSq3AJ5eI5OnqOPBNLWSHKh2a30DoXe8/edit?usp=sharing"",""พัทลุง!M493"")"),0)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IFERROR(__xludf.DUMMYFUNCTION("IMPORTRANGE(""https://docs.google.com/spreadsheets/d/1IYY_tgx_IHuhSq3AJ5eI5OnqOPBNLWSHKh2a30DoXe8/edit?usp=sharing"",""พัทลุง!L494"")"),4550)</f>
        <v>4550</v>
      </c>
      <c r="M599" s="169"/>
      <c r="N599" s="175">
        <f ca="1">IFERROR(__xludf.DUMMYFUNCTION("IMPORTRANGE(""https://docs.google.com/spreadsheets/d/1IYY_tgx_IHuhSq3AJ5eI5OnqOPBNLWSHKh2a30DoXe8/edit?usp=sharing"",""พัทลุง!M494"")"),5945)</f>
        <v>5945</v>
      </c>
      <c r="O599" s="175">
        <f t="shared" ca="1" si="125"/>
        <v>130.65934065934067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IFERROR(__xludf.DUMMYFUNCTION("IMPORTRANGE(""https://docs.google.com/spreadsheets/d/1IYY_tgx_IHuhSq3AJ5eI5OnqOPBNLWSHKh2a30DoXe8/edit?usp=sharing"",""พัทลุง!L495"")"),0)</f>
        <v>0</v>
      </c>
      <c r="M600" s="175"/>
      <c r="N600" s="175">
        <f ca="1">IFERROR(__xludf.DUMMYFUNCTION("IMPORTRANGE(""https://docs.google.com/spreadsheets/d/1IYY_tgx_IHuhSq3AJ5eI5OnqOPBNLWSHKh2a30DoXe8/edit?usp=sharing"",""พัทลุง!M495"")"),0)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IFERROR(__xludf.DUMMYFUNCTION("IMPORTRANGE(""https://docs.google.com/spreadsheets/d/1IYY_tgx_IHuhSq3AJ5eI5OnqOPBNLWSHKh2a30DoXe8/edit?usp=sharing"",""พัทลุง!L496"")"),4550)</f>
        <v>4550</v>
      </c>
      <c r="M601" s="175"/>
      <c r="N601" s="175">
        <f ca="1">IFERROR(__xludf.DUMMYFUNCTION("IMPORTRANGE(""https://docs.google.com/spreadsheets/d/1IYY_tgx_IHuhSq3AJ5eI5OnqOPBNLWSHKh2a30DoXe8/edit?usp=sharing"",""พัทลุง!M496"")"),5945)</f>
        <v>5945</v>
      </c>
      <c r="O601" s="175">
        <f t="shared" ca="1" si="125"/>
        <v>130.65934065934067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IFERROR(__xludf.DUMMYFUNCTION("IMPORTRANGE(""https://docs.google.com/spreadsheets/d/1IYY_tgx_IHuhSq3AJ5eI5OnqOPBNLWSHKh2a30DoXe8/edit?usp=sharing"",""พัทลุง!M497"")"),0)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IFERROR(__xludf.DUMMYFUNCTION("IMPORTRANGE(""https://docs.google.com/spreadsheets/d/1IYY_tgx_IHuhSq3AJ5eI5OnqOPBNLWSHKh2a30DoXe8/edit?usp=sharing"",""พัทลุง!M498"")"),0)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IFERROR(__xludf.DUMMYFUNCTION("IMPORTRANGE(""https://docs.google.com/spreadsheets/d/1IYY_tgx_IHuhSq3AJ5eI5OnqOPBNLWSHKh2a30DoXe8/edit?usp=sharing"",""พัทลุง!M500"")"),5945)</f>
        <v>5945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IFERROR(__xludf.DUMMYFUNCTION("IMPORTRANGE(""https://docs.google.com/spreadsheets/d/1IYY_tgx_IHuhSq3AJ5eI5OnqOPBNLWSHKh2a30DoXe8/edit?usp=sharing"",""พัทลุง!J502"")"),0)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IFERROR(__xludf.DUMMYFUNCTION("IMPORTRANGE(""https://docs.google.com/spreadsheets/d/1IYY_tgx_IHuhSq3AJ5eI5OnqOPBNLWSHKh2a30DoXe8/edit?usp=sharing"",""พัทลุง!J503"")"),1)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IFERROR(__xludf.DUMMYFUNCTION("IMPORTRANGE(""https://docs.google.com/spreadsheets/d/1IYY_tgx_IHuhSq3AJ5eI5OnqOPBNLWSHKh2a30DoXe8/edit?usp=sharing"",""พัทลุง!J166"")"),0)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IFERROR(__xludf.DUMMYFUNCTION("IMPORTRANGE(""https://docs.google.com/spreadsheets/d/1IYY_tgx_IHuhSq3AJ5eI5OnqOPBNLWSHKh2a30DoXe8/edit?usp=sharing"",""พัทลุง!J166"")"),0)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IFERROR(__xludf.DUMMYFUNCTION("IMPORTRANGE(""https://docs.google.com/spreadsheets/d/1IYY_tgx_IHuhSq3AJ5eI5OnqOPBNLWSHKh2a30DoXe8/edit?usp=sharing"",""พัทลุง!I506"")"),50)</f>
        <v>50</v>
      </c>
      <c r="J611" s="166">
        <f ca="1">IFERROR(__xludf.DUMMYFUNCTION("IMPORTRANGE(""https://docs.google.com/spreadsheets/d/1IYY_tgx_IHuhSq3AJ5eI5OnqOPBNLWSHKh2a30DoXe8/edit?usp=sharing"",""พัทลุง!J506"")"),30)</f>
        <v>30</v>
      </c>
      <c r="K611" s="167">
        <f t="shared" ref="K611:K619" ca="1" si="126">IF(I$611&gt;0,J611*100/I$611,0)</f>
        <v>60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IFERROR(__xludf.DUMMYFUNCTION("IMPORTRANGE(""https://docs.google.com/spreadsheets/d/1IYY_tgx_IHuhSq3AJ5eI5OnqOPBNLWSHKh2a30DoXe8/edit?usp=sharing"",""พัทลุง!I507"")"),0)</f>
        <v>0</v>
      </c>
      <c r="J612" s="204">
        <f ca="1">IFERROR(__xludf.DUMMYFUNCTION("IMPORTRANGE(""https://docs.google.com/spreadsheets/d/1IYY_tgx_IHuhSq3AJ5eI5OnqOPBNLWSHKh2a30DoXe8/edit?usp=sharing"",""พัทลุง!J507"")"),30)</f>
        <v>30</v>
      </c>
      <c r="K612" s="167">
        <f t="shared" ca="1" si="126"/>
        <v>60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IFERROR(__xludf.DUMMYFUNCTION("IMPORTRANGE(""https://docs.google.com/spreadsheets/d/1IYY_tgx_IHuhSq3AJ5eI5OnqOPBNLWSHKh2a30DoXe8/edit?usp=sharing"",""พัทลุง!I508"")"),0)</f>
        <v>0</v>
      </c>
      <c r="J613" s="204">
        <f ca="1">IFERROR(__xludf.DUMMYFUNCTION("IMPORTRANGE(""https://docs.google.com/spreadsheets/d/1IYY_tgx_IHuhSq3AJ5eI5OnqOPBNLWSHKh2a30DoXe8/edit?usp=sharing"",""พัทลุง!J508"")"),30)</f>
        <v>30</v>
      </c>
      <c r="K613" s="167">
        <f t="shared" ca="1" si="126"/>
        <v>60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IFERROR(__xludf.DUMMYFUNCTION("IMPORTRANGE(""https://docs.google.com/spreadsheets/d/1IYY_tgx_IHuhSq3AJ5eI5OnqOPBNLWSHKh2a30DoXe8/edit?usp=sharing"",""พัทลุง!I509"")"),0)</f>
        <v>0</v>
      </c>
      <c r="J614" s="204">
        <f ca="1">IFERROR(__xludf.DUMMYFUNCTION("IMPORTRANGE(""https://docs.google.com/spreadsheets/d/1IYY_tgx_IHuhSq3AJ5eI5OnqOPBNLWSHKh2a30DoXe8/edit?usp=sharing"",""พัทลุง!J509"")"),30)</f>
        <v>30</v>
      </c>
      <c r="K614" s="167">
        <f t="shared" ca="1" si="126"/>
        <v>60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IFERROR(__xludf.DUMMYFUNCTION("IMPORTRANGE(""https://docs.google.com/spreadsheets/d/1IYY_tgx_IHuhSq3AJ5eI5OnqOPBNLWSHKh2a30DoXe8/edit?usp=sharing"",""พัทลุง!I510"")"),0)</f>
        <v>0</v>
      </c>
      <c r="J615" s="204">
        <f ca="1">IFERROR(__xludf.DUMMYFUNCTION("IMPORTRANGE(""https://docs.google.com/spreadsheets/d/1IYY_tgx_IHuhSq3AJ5eI5OnqOPBNLWSHKh2a30DoXe8/edit?usp=sharing"",""พัทลุง!J510"")"),30)</f>
        <v>30</v>
      </c>
      <c r="K615" s="167">
        <f t="shared" ca="1" si="126"/>
        <v>60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IFERROR(__xludf.DUMMYFUNCTION("IMPORTRANGE(""https://docs.google.com/spreadsheets/d/1IYY_tgx_IHuhSq3AJ5eI5OnqOPBNLWSHKh2a30DoXe8/edit?usp=sharing"",""พัทลุง!I511"")"),0)</f>
        <v>0</v>
      </c>
      <c r="J616" s="204">
        <f ca="1">IFERROR(__xludf.DUMMYFUNCTION("IMPORTRANGE(""https://docs.google.com/spreadsheets/d/1IYY_tgx_IHuhSq3AJ5eI5OnqOPBNLWSHKh2a30DoXe8/edit?usp=sharing"",""พัทลุง!J511"")"),30)</f>
        <v>30</v>
      </c>
      <c r="K616" s="167">
        <f t="shared" ca="1" si="126"/>
        <v>60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IFERROR(__xludf.DUMMYFUNCTION("IMPORTRANGE(""https://docs.google.com/spreadsheets/d/1IYY_tgx_IHuhSq3AJ5eI5OnqOPBNLWSHKh2a30DoXe8/edit?usp=sharing"",""พัทลุง!I512"")"),0)</f>
        <v>0</v>
      </c>
      <c r="J617" s="194">
        <f ca="1">IFERROR(__xludf.DUMMYFUNCTION("IMPORTRANGE(""https://docs.google.com/spreadsheets/d/1IYY_tgx_IHuhSq3AJ5eI5OnqOPBNLWSHKh2a30DoXe8/edit?usp=sharing"",""พัทลุง!J512"")"),30)</f>
        <v>30</v>
      </c>
      <c r="K617" s="167">
        <f t="shared" ca="1" si="126"/>
        <v>60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IFERROR(__xludf.DUMMYFUNCTION("IMPORTRANGE(""https://docs.google.com/spreadsheets/d/1IYY_tgx_IHuhSq3AJ5eI5OnqOPBNLWSHKh2a30DoXe8/edit?usp=sharing"",""พัทลุง!I513"")"),0)</f>
        <v>0</v>
      </c>
      <c r="J618" s="195">
        <f ca="1">IFERROR(__xludf.DUMMYFUNCTION("IMPORTRANGE(""https://docs.google.com/spreadsheets/d/1IYY_tgx_IHuhSq3AJ5eI5OnqOPBNLWSHKh2a30DoXe8/edit?usp=sharing"",""พัทลุง!J513"")"),0)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IFERROR(__xludf.DUMMYFUNCTION("IMPORTRANGE(""https://docs.google.com/spreadsheets/d/1IYY_tgx_IHuhSq3AJ5eI5OnqOPBNLWSHKh2a30DoXe8/edit?usp=sharing"",""พัทลุง!I514"")"),0)</f>
        <v>0</v>
      </c>
      <c r="J619" s="195">
        <f ca="1">IFERROR(__xludf.DUMMYFUNCTION("IMPORTRANGE(""https://docs.google.com/spreadsheets/d/1IYY_tgx_IHuhSq3AJ5eI5OnqOPBNLWSHKh2a30DoXe8/edit?usp=sharing"",""พัทลุง!J514"")"),30)</f>
        <v>30</v>
      </c>
      <c r="K619" s="167">
        <f t="shared" ca="1" si="126"/>
        <v>60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IFERROR(__xludf.DUMMYFUNCTION("IMPORTRANGE(""https://docs.google.com/spreadsheets/d/1IYY_tgx_IHuhSq3AJ5eI5OnqOPBNLWSHKh2a30DoXe8/edit?usp=sharing"",""พัทลุง!I515"")"),0)</f>
        <v>0</v>
      </c>
      <c r="J620" s="209">
        <f ca="1">IFERROR(__xludf.DUMMYFUNCTION("IMPORTRANGE(""https://docs.google.com/spreadsheets/d/1IYY_tgx_IHuhSq3AJ5eI5OnqOPBNLWSHKh2a30DoXe8/edit?usp=sharing"",""พัทลุง!J515"")"),0)</f>
        <v>0</v>
      </c>
      <c r="K620" s="167">
        <f t="shared" ref="K620:K626" ca="1" si="127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IFERROR(__xludf.DUMMYFUNCTION("IMPORTRANGE(""https://docs.google.com/spreadsheets/d/1IYY_tgx_IHuhSq3AJ5eI5OnqOPBNLWSHKh2a30DoXe8/edit?usp=sharing"",""พัทลุง!I516"")"),0)</f>
        <v>0</v>
      </c>
      <c r="J621" s="209">
        <f ca="1">IFERROR(__xludf.DUMMYFUNCTION("IMPORTRANGE(""https://docs.google.com/spreadsheets/d/1IYY_tgx_IHuhSq3AJ5eI5OnqOPBNLWSHKh2a30DoXe8/edit?usp=sharing"",""พัทลุง!J516"")"),0)</f>
        <v>0</v>
      </c>
      <c r="K621" s="167">
        <f t="shared" ca="1" si="127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IFERROR(__xludf.DUMMYFUNCTION("IMPORTRANGE(""https://docs.google.com/spreadsheets/d/1IYY_tgx_IHuhSq3AJ5eI5OnqOPBNLWSHKh2a30DoXe8/edit?usp=sharing"",""พัทลุง!I517"")"),0)</f>
        <v>0</v>
      </c>
      <c r="J622" s="195">
        <f ca="1">IFERROR(__xludf.DUMMYFUNCTION("IMPORTRANGE(""https://docs.google.com/spreadsheets/d/1IYY_tgx_IHuhSq3AJ5eI5OnqOPBNLWSHKh2a30DoXe8/edit?usp=sharing"",""พัทลุง!J517"")"),0)</f>
        <v>0</v>
      </c>
      <c r="K622" s="167">
        <f t="shared" ca="1" si="127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IFERROR(__xludf.DUMMYFUNCTION("IMPORTRANGE(""https://docs.google.com/spreadsheets/d/1IYY_tgx_IHuhSq3AJ5eI5OnqOPBNLWSHKh2a30DoXe8/edit?usp=sharing"",""พัทลุง!I518"")"),0)</f>
        <v>0</v>
      </c>
      <c r="J623" s="195">
        <f ca="1">IFERROR(__xludf.DUMMYFUNCTION("IMPORTRANGE(""https://docs.google.com/spreadsheets/d/1IYY_tgx_IHuhSq3AJ5eI5OnqOPBNLWSHKh2a30DoXe8/edit?usp=sharing"",""พัทลุง!J518"")"),0)</f>
        <v>0</v>
      </c>
      <c r="K623" s="167">
        <f t="shared" ca="1" si="127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IFERROR(__xludf.DUMMYFUNCTION("IMPORTRANGE(""https://docs.google.com/spreadsheets/d/1IYY_tgx_IHuhSq3AJ5eI5OnqOPBNLWSHKh2a30DoXe8/edit?usp=sharing"",""พัทลุง!I519"")"),0)</f>
        <v>0</v>
      </c>
      <c r="J624" s="194">
        <f ca="1">IFERROR(__xludf.DUMMYFUNCTION("IMPORTRANGE(""https://docs.google.com/spreadsheets/d/1IYY_tgx_IHuhSq3AJ5eI5OnqOPBNLWSHKh2a30DoXe8/edit?usp=sharing"",""พัทลุง!J519"")"),0)</f>
        <v>0</v>
      </c>
      <c r="K624" s="167">
        <f t="shared" ca="1" si="127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IFERROR(__xludf.DUMMYFUNCTION("IMPORTRANGE(""https://docs.google.com/spreadsheets/d/1IYY_tgx_IHuhSq3AJ5eI5OnqOPBNLWSHKh2a30DoXe8/edit?usp=sharing"",""พัทลุง!I520"")"),0)</f>
        <v>0</v>
      </c>
      <c r="J625" s="195">
        <f ca="1">IFERROR(__xludf.DUMMYFUNCTION("IMPORTRANGE(""https://docs.google.com/spreadsheets/d/1IYY_tgx_IHuhSq3AJ5eI5OnqOPBNLWSHKh2a30DoXe8/edit?usp=sharing"",""พัทลุง!J520"")"),0)</f>
        <v>0</v>
      </c>
      <c r="K625" s="167">
        <f t="shared" ca="1" si="127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IFERROR(__xludf.DUMMYFUNCTION("IMPORTRANGE(""https://docs.google.com/spreadsheets/d/1IYY_tgx_IHuhSq3AJ5eI5OnqOPBNLWSHKh2a30DoXe8/edit?usp=sharing"",""พัทลุง!I521"")"),0)</f>
        <v>0</v>
      </c>
      <c r="J626" s="195">
        <f ca="1">IFERROR(__xludf.DUMMYFUNCTION("IMPORTRANGE(""https://docs.google.com/spreadsheets/d/1IYY_tgx_IHuhSq3AJ5eI5OnqOPBNLWSHKh2a30DoXe8/edit?usp=sharing"",""พัทลุง!J521"")"),0)</f>
        <v>0</v>
      </c>
      <c r="K626" s="167">
        <f t="shared" ca="1" si="127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IFERROR(__xludf.DUMMYFUNCTION("IMPORTRANGE(""https://docs.google.com/spreadsheets/d/1IYY_tgx_IHuhSq3AJ5eI5OnqOPBNLWSHKh2a30DoXe8/edit?usp=sharing"",""พัทลุง!J523"")"),1037696.24)</f>
        <v>1037696.24</v>
      </c>
      <c r="K628" s="348">
        <f t="shared" ref="K628:K635" ca="1" si="128">IF(I628&gt;0,J628*100/I628,0)</f>
        <v>66.292929578861802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IFERROR(__xludf.DUMMYFUNCTION("IMPORTRANGE(""https://docs.google.com/spreadsheets/d/1IYY_tgx_IHuhSq3AJ5eI5OnqOPBNLWSHKh2a30DoXe8/edit?usp=sharing"",""พัทลุง!J524"")"),102)</f>
        <v>102</v>
      </c>
      <c r="K629" s="348">
        <f t="shared" ca="1" si="128"/>
        <v>64.556962025316452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IFERROR(__xludf.DUMMYFUNCTION("IMPORTRANGE(""https://docs.google.com/spreadsheets/d/1IYY_tgx_IHuhSq3AJ5eI5OnqOPBNLWSHKh2a30DoXe8/edit?usp=sharing"",""พัทลุง!I525"")"),1351205.29)</f>
        <v>1351205.29</v>
      </c>
      <c r="J630" s="347">
        <f ca="1">IFERROR(__xludf.DUMMYFUNCTION("IMPORTRANGE(""https://docs.google.com/spreadsheets/d/1IYY_tgx_IHuhSq3AJ5eI5OnqOPBNLWSHKh2a30DoXe8/edit?usp=sharing"",""พัทลุง!J525"")"),219466.6)</f>
        <v>219466.6</v>
      </c>
      <c r="K630" s="348">
        <f t="shared" ca="1" si="128"/>
        <v>16.242283953758054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IFERROR(__xludf.DUMMYFUNCTION("IMPORTRANGE(""https://docs.google.com/spreadsheets/d/1IYY_tgx_IHuhSq3AJ5eI5OnqOPBNLWSHKh2a30DoXe8/edit?usp=sharing"",""พัทลุง!I526"")"),57)</f>
        <v>57</v>
      </c>
      <c r="J631" s="347">
        <f ca="1">IFERROR(__xludf.DUMMYFUNCTION("IMPORTRANGE(""https://docs.google.com/spreadsheets/d/1IYY_tgx_IHuhSq3AJ5eI5OnqOPBNLWSHKh2a30DoXe8/edit?usp=sharing"",""พัทลุง!J526"")"),45)</f>
        <v>45</v>
      </c>
      <c r="K631" s="348">
        <f t="shared" ca="1" si="128"/>
        <v>78.94736842105263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IFERROR(__xludf.DUMMYFUNCTION("IMPORTRANGE(""https://docs.google.com/spreadsheets/d/1IYY_tgx_IHuhSq3AJ5eI5OnqOPBNLWSHKh2a30DoXe8/edit?usp=sharing"",""พัทลุง!J527"")"),0)</f>
        <v>0</v>
      </c>
      <c r="K632" s="348">
        <f t="shared" ca="1" si="128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IFERROR(__xludf.DUMMYFUNCTION("IMPORTRANGE(""https://docs.google.com/spreadsheets/d/1IYY_tgx_IHuhSq3AJ5eI5OnqOPBNLWSHKh2a30DoXe8/edit?usp=sharing"",""พัทลุง!J528"")"),0)</f>
        <v>0</v>
      </c>
      <c r="K633" s="348">
        <f t="shared" ca="1" si="128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IFERROR(__xludf.DUMMYFUNCTION("IMPORTRANGE(""https://docs.google.com/spreadsheets/d/1IYY_tgx_IHuhSq3AJ5eI5OnqOPBNLWSHKh2a30DoXe8/edit?usp=sharing"",""พัทลุง!J529"")"),1220000)</f>
        <v>1220000</v>
      </c>
      <c r="K634" s="348">
        <f t="shared" ca="1" si="128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IFERROR(__xludf.DUMMYFUNCTION("IMPORTRANGE(""https://docs.google.com/spreadsheets/d/1IYY_tgx_IHuhSq3AJ5eI5OnqOPBNLWSHKh2a30DoXe8/edit?usp=sharing"",""พัทลุง!I530"")"),41)</f>
        <v>41</v>
      </c>
      <c r="J635" s="518">
        <f ca="1">IFERROR(__xludf.DUMMYFUNCTION("IMPORTRANGE(""https://docs.google.com/spreadsheets/d/1IYY_tgx_IHuhSq3AJ5eI5OnqOPBNLWSHKh2a30DoXe8/edit?usp=sharing"",""พัทลุง!J530"")"),34)</f>
        <v>34</v>
      </c>
      <c r="K635" s="493">
        <f t="shared" ca="1" si="128"/>
        <v>82.926829268292678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29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29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29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IFERROR(__xludf.DUMMYFUNCTION("IMPORTRANGE(""https://docs.google.com/spreadsheets/d/1IYY_tgx_IHuhSq3AJ5eI5OnqOPBNLWSHKh2a30DoXe8/edit?usp=sharing"",""พัทลุง!J541"")"),0)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IFERROR(__xludf.DUMMYFUNCTION("IMPORTRANGE(""https://docs.google.com/spreadsheets/d/1IYY_tgx_IHuhSq3AJ5eI5OnqOPBNLWSHKh2a30DoXe8/edit?usp=sharing"",""พัทลุง!J542"")"),0)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IFERROR(__xludf.DUMMYFUNCTION("IMPORTRANGE(""https://docs.google.com/spreadsheets/d/1IYY_tgx_IHuhSq3AJ5eI5OnqOPBNLWSHKh2a30DoXe8/edit?usp=sharing"",""พัทลุง!I543"")"),0)</f>
        <v>0</v>
      </c>
      <c r="J648" s="547">
        <f ca="1">IFERROR(__xludf.DUMMYFUNCTION("IMPORTRANGE(""https://docs.google.com/spreadsheets/d/1IYY_tgx_IHuhSq3AJ5eI5OnqOPBNLWSHKh2a30DoXe8/edit?usp=sharing"",""พัทลุง!J543"")"),0)</f>
        <v>0</v>
      </c>
      <c r="K648" s="548">
        <f t="shared" ref="K648:K651" ca="1" si="130">IF(I648&gt;0,J648*100/I648,0)</f>
        <v>0</v>
      </c>
      <c r="L648" s="535">
        <f ca="1">IFERROR(__xludf.DUMMYFUNCTION("IMPORTRANGE(""https://docs.google.com/spreadsheets/d/1IYY_tgx_IHuhSq3AJ5eI5OnqOPBNLWSHKh2a30DoXe8/edit?usp=sharing"",""พัทลุง!L543"")"),0)</f>
        <v>0</v>
      </c>
      <c r="M648" s="534"/>
      <c r="N648" s="549">
        <f ca="1">IFERROR(__xludf.DUMMYFUNCTION("IMPORTRANGE(""https://docs.google.com/spreadsheets/d/1IYY_tgx_IHuhSq3AJ5eI5OnqOPBNLWSHKh2a30DoXe8/edit?usp=sharing"",""พัทลุง!M543"")"),0)</f>
        <v>0</v>
      </c>
      <c r="O648" s="548">
        <f t="shared" ref="O648:O651" ca="1" si="131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IFERROR(__xludf.DUMMYFUNCTION("IMPORTRANGE(""https://docs.google.com/spreadsheets/d/1IYY_tgx_IHuhSq3AJ5eI5OnqOPBNLWSHKh2a30DoXe8/edit?usp=sharing"",""พัทลุง!I544"")"),0)</f>
        <v>0</v>
      </c>
      <c r="J649" s="547">
        <f ca="1">IFERROR(__xludf.DUMMYFUNCTION("IMPORTRANGE(""https://docs.google.com/spreadsheets/d/1IYY_tgx_IHuhSq3AJ5eI5OnqOPBNLWSHKh2a30DoXe8/edit?usp=sharing"",""พัทลุง!J544"")"),0)</f>
        <v>0</v>
      </c>
      <c r="K649" s="548">
        <f t="shared" ca="1" si="130"/>
        <v>0</v>
      </c>
      <c r="L649" s="535">
        <f ca="1">IFERROR(__xludf.DUMMYFUNCTION("IMPORTRANGE(""https://docs.google.com/spreadsheets/d/1IYY_tgx_IHuhSq3AJ5eI5OnqOPBNLWSHKh2a30DoXe8/edit?usp=sharing"",""พัทลุง!L544"")"),0)</f>
        <v>0</v>
      </c>
      <c r="M649" s="534"/>
      <c r="N649" s="549">
        <f ca="1">IFERROR(__xludf.DUMMYFUNCTION("IMPORTRANGE(""https://docs.google.com/spreadsheets/d/1IYY_tgx_IHuhSq3AJ5eI5OnqOPBNLWSHKh2a30DoXe8/edit?usp=sharing"",""พัทลุง!M544"")"),0)</f>
        <v>0</v>
      </c>
      <c r="O649" s="548">
        <f t="shared" ca="1" si="131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IFERROR(__xludf.DUMMYFUNCTION("IMPORTRANGE(""https://docs.google.com/spreadsheets/d/1IYY_tgx_IHuhSq3AJ5eI5OnqOPBNLWSHKh2a30DoXe8/edit?usp=sharing"",""พัทลุง!I545"")"),0)</f>
        <v>0</v>
      </c>
      <c r="J650" s="547">
        <f ca="1">IFERROR(__xludf.DUMMYFUNCTION("IMPORTRANGE(""https://docs.google.com/spreadsheets/d/1IYY_tgx_IHuhSq3AJ5eI5OnqOPBNLWSHKh2a30DoXe8/edit?usp=sharing"",""พัทลุง!J545"")"),0)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IFERROR(__xludf.DUMMYFUNCTION("IMPORTRANGE(""https://docs.google.com/spreadsheets/d/1IYY_tgx_IHuhSq3AJ5eI5OnqOPBNLWSHKh2a30DoXe8/edit?usp=sharing"",""พัทลุง!L545"")"),0)</f>
        <v>0</v>
      </c>
      <c r="M650" s="534"/>
      <c r="N650" s="549">
        <f ca="1">IFERROR(__xludf.DUMMYFUNCTION("IMPORTRANGE(""https://docs.google.com/spreadsheets/d/1IYY_tgx_IHuhSq3AJ5eI5OnqOPBNLWSHKh2a30DoXe8/edit?usp=sharing"",""พัทลุง!M545"")"),0)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IFERROR(__xludf.DUMMYFUNCTION("IMPORTRANGE(""https://docs.google.com/spreadsheets/d/1IYY_tgx_IHuhSq3AJ5eI5OnqOPBNLWSHKh2a30DoXe8/edit?usp=sharing"",""พัทลุง!I546"")"),0)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IFERROR(__xludf.DUMMYFUNCTION("IMPORTRANGE(""https://docs.google.com/spreadsheets/d/1IYY_tgx_IHuhSq3AJ5eI5OnqOPBNLWSHKh2a30DoXe8/edit?usp=sharing"",""พัทลุง!L546"")"),0)</f>
        <v>0</v>
      </c>
      <c r="M651" s="534"/>
      <c r="N651" s="549">
        <f ca="1">IFERROR(__xludf.DUMMYFUNCTION("IMPORTRANGE(""https://docs.google.com/spreadsheets/d/1IYY_tgx_IHuhSq3AJ5eI5OnqOPBNLWSHKh2a30DoXe8/edit?usp=sharing"",""พัทลุง!M546"")"),0)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IFERROR(__xludf.DUMMYFUNCTION("IMPORTRANGE(""https://docs.google.com/spreadsheets/d/1IYY_tgx_IHuhSq3AJ5eI5OnqOPBNLWSHKh2a30DoXe8/edit?usp=sharing"",""พัทลุง!J547"")"),0)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IFERROR(__xludf.DUMMYFUNCTION("IMPORTRANGE(""https://docs.google.com/spreadsheets/d/1IYY_tgx_IHuhSq3AJ5eI5OnqOPBNLWSHKh2a30DoXe8/edit?usp=sharing"",""พัทลุง!J548"")"),0)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IFERROR(__xludf.DUMMYFUNCTION("IMPORTRANGE(""https://docs.google.com/spreadsheets/d/1IYY_tgx_IHuhSq3AJ5eI5OnqOPBNLWSHKh2a30DoXe8/edit?usp=sharing"",""พัทลุง!J550"")"),0)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IFERROR(__xludf.DUMMYFUNCTION("IMPORTRANGE(""https://docs.google.com/spreadsheets/d/1IYY_tgx_IHuhSq3AJ5eI5OnqOPBNLWSHKh2a30DoXe8/edit?usp=sharing"",""พัทลุง!J551"")"),0)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IFERROR(__xludf.DUMMYFUNCTION("IMPORTRANGE(""https://docs.google.com/spreadsheets/d/1IYY_tgx_IHuhSq3AJ5eI5OnqOPBNLWSHKh2a30DoXe8/edit?usp=sharing"",""พัทลุง!J552"")"),0)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IFERROR(__xludf.DUMMYFUNCTION("IMPORTRANGE(""https://docs.google.com/spreadsheets/d/1IYY_tgx_IHuhSq3AJ5eI5OnqOPBNLWSHKh2a30DoXe8/edit?usp=sharing"",""พัทลุง!J553"")"),0)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IFERROR(__xludf.DUMMYFUNCTION("IMPORTRANGE(""https://docs.google.com/spreadsheets/d/1IYY_tgx_IHuhSq3AJ5eI5OnqOPBNLWSHKh2a30DoXe8/edit?usp=sharing"",""พัทลุง!J554"")"),0)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IFERROR(__xludf.DUMMYFUNCTION("IMPORTRANGE(""https://docs.google.com/spreadsheets/d/1IYY_tgx_IHuhSq3AJ5eI5OnqOPBNLWSHKh2a30DoXe8/edit?usp=sharing"",""พัทลุง!J555"")"),0)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IFERROR(__xludf.DUMMYFUNCTION("IMPORTRANGE(""https://docs.google.com/spreadsheets/d/1IYY_tgx_IHuhSq3AJ5eI5OnqOPBNLWSHKh2a30DoXe8/edit?usp=sharing"",""พัทลุง!J556"")"),0)</f>
        <v>0</v>
      </c>
      <c r="K661" s="548"/>
      <c r="L661" s="535">
        <f ca="1">IFERROR(__xludf.DUMMYFUNCTION("IMPORTRANGE(""https://docs.google.com/spreadsheets/d/1IYY_tgx_IHuhSq3AJ5eI5OnqOPBNLWSHKh2a30DoXe8/edit?usp=sharing"",""พัทลุง!L556"")"),0)</f>
        <v>0</v>
      </c>
      <c r="M661" s="534"/>
      <c r="N661" s="549">
        <f ca="1">IFERROR(__xludf.DUMMYFUNCTION("IMPORTRANGE(""https://docs.google.com/spreadsheets/d/1IYY_tgx_IHuhSq3AJ5eI5OnqOPBNLWSHKh2a30DoXe8/edit?usp=sharing"",""พัทลุง!M556"")"),0)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IFERROR(__xludf.DUMMYFUNCTION("IMPORTRANGE(""https://docs.google.com/spreadsheets/d/1IYY_tgx_IHuhSq3AJ5eI5OnqOPBNLWSHKh2a30DoXe8/edit?usp=sharing"",""พัทลุง!J557"")"),0)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IFERROR(__xludf.DUMMYFUNCTION("IMPORTRANGE(""https://docs.google.com/spreadsheets/d/1IYY_tgx_IHuhSq3AJ5eI5OnqOPBNLWSHKh2a30DoXe8/edit?usp=sharing"",""พัทลุง!I558"")"),0)</f>
        <v>0</v>
      </c>
      <c r="J663" s="547">
        <f ca="1">IFERROR(__xludf.DUMMYFUNCTION("IMPORTRANGE(""https://docs.google.com/spreadsheets/d/1IYY_tgx_IHuhSq3AJ5eI5OnqOPBNLWSHKh2a30DoXe8/edit?usp=sharing"",""พัทลุง!J558"")"),0)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IFERROR(__xludf.DUMMYFUNCTION("IMPORTRANGE(""https://docs.google.com/spreadsheets/d/1IYY_tgx_IHuhSq3AJ5eI5OnqOPBNLWSHKh2a30DoXe8/edit?usp=sharing"",""พัทลุง!I560"")"),0)</f>
        <v>0</v>
      </c>
      <c r="J665" s="547">
        <f ca="1">IFERROR(__xludf.DUMMYFUNCTION("IMPORTRANGE(""https://docs.google.com/spreadsheets/d/1IYY_tgx_IHuhSq3AJ5eI5OnqOPBNLWSHKh2a30DoXe8/edit?usp=sharing"",""พัทลุง!J560"")"),0)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IFERROR(__xludf.DUMMYFUNCTION("IMPORTRANGE(""https://docs.google.com/spreadsheets/d/1IYY_tgx_IHuhSq3AJ5eI5OnqOPBNLWSHKh2a30DoXe8/edit?usp=sharing"",""พัทลุง!L560"")"),0)</f>
        <v>0</v>
      </c>
      <c r="M665" s="534"/>
      <c r="N665" s="549">
        <f ca="1">IFERROR(__xludf.DUMMYFUNCTION("IMPORTRANGE(""https://docs.google.com/spreadsheets/d/1IYY_tgx_IHuhSq3AJ5eI5OnqOPBNLWSHKh2a30DoXe8/edit?usp=sharing"",""พัทลุง!M560"")"),0)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IFERROR(__xludf.DUMMYFUNCTION("IMPORTRANGE(""https://docs.google.com/spreadsheets/d/1IYY_tgx_IHuhSq3AJ5eI5OnqOPBNLWSHKh2a30DoXe8/edit?usp=sharing"",""พัทลุง!J561"")"),0)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IFERROR(__xludf.DUMMYFUNCTION("IMPORTRANGE(""https://docs.google.com/spreadsheets/d/1IYY_tgx_IHuhSq3AJ5eI5OnqOPBNLWSHKh2a30DoXe8/edit?usp=sharing"",""พัทลุง!J562"")"),0)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IFERROR(__xludf.DUMMYFUNCTION("IMPORTRANGE(""https://docs.google.com/spreadsheets/d/1IYY_tgx_IHuhSq3AJ5eI5OnqOPBNLWSHKh2a30DoXe8/edit?usp=sharing"",""พัทลุง!I563"")"),0)</f>
        <v>0</v>
      </c>
      <c r="J668" s="547">
        <f ca="1">IFERROR(__xludf.DUMMYFUNCTION("IMPORTRANGE(""https://docs.google.com/spreadsheets/d/1IYY_tgx_IHuhSq3AJ5eI5OnqOPBNLWSHKh2a30DoXe8/edit?usp=sharing"",""พัทลุง!J563"")"),0)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IFERROR(__xludf.DUMMYFUNCTION("IMPORTRANGE(""https://docs.google.com/spreadsheets/d/1IYY_tgx_IHuhSq3AJ5eI5OnqOPBNLWSHKh2a30DoXe8/edit?usp=sharing"",""พัทลุง!L563"")"),0)</f>
        <v>0</v>
      </c>
      <c r="M668" s="534"/>
      <c r="N668" s="549">
        <f ca="1">IFERROR(__xludf.DUMMYFUNCTION("IMPORTRANGE(""https://docs.google.com/spreadsheets/d/1IYY_tgx_IHuhSq3AJ5eI5OnqOPBNLWSHKh2a30DoXe8/edit?usp=sharing"",""พัทลุง!M563"")"),0)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IFERROR(__xludf.DUMMYFUNCTION("IMPORTRANGE(""https://docs.google.com/spreadsheets/d/1IYY_tgx_IHuhSq3AJ5eI5OnqOPBNLWSHKh2a30DoXe8/edit?usp=sharing"",""พัทลุง!J564"")"),0)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IFERROR(__xludf.DUMMYFUNCTION("IMPORTRANGE(""https://docs.google.com/spreadsheets/d/1IYY_tgx_IHuhSq3AJ5eI5OnqOPBNLWSHKh2a30DoXe8/edit?usp=sharing"",""พัทลุง!J565"")"),0)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IFERROR(__xludf.DUMMYFUNCTION("IMPORTRANGE(""https://docs.google.com/spreadsheets/d/1IYY_tgx_IHuhSq3AJ5eI5OnqOPBNLWSHKh2a30DoXe8/edit?usp=sharing"",""พัทลุง!I566"")"),0)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IFERROR(__xludf.DUMMYFUNCTION("IMPORTRANGE(""https://docs.google.com/spreadsheets/d/1IYY_tgx_IHuhSq3AJ5eI5OnqOPBNLWSHKh2a30DoXe8/edit?usp=sharing"",""พัทลุง!L566"")"),0)</f>
        <v>0</v>
      </c>
      <c r="M671" s="534"/>
      <c r="N671" s="549">
        <f ca="1">IFERROR(__xludf.DUMMYFUNCTION("IMPORTRANGE(""https://docs.google.com/spreadsheets/d/1IYY_tgx_IHuhSq3AJ5eI5OnqOPBNLWSHKh2a30DoXe8/edit?usp=sharing"",""พัทลุง!M566"")"),0)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IFERROR(__xludf.DUMMYFUNCTION("IMPORTRANGE(""https://docs.google.com/spreadsheets/d/1IYY_tgx_IHuhSq3AJ5eI5OnqOPBNLWSHKh2a30DoXe8/edit?usp=sharing"",""พัทลุง!J567"")"),0)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IFERROR(__xludf.DUMMYFUNCTION("IMPORTRANGE(""https://docs.google.com/spreadsheets/d/1IYY_tgx_IHuhSq3AJ5eI5OnqOPBNLWSHKh2a30DoXe8/edit?usp=sharing"",""พัทลุง!J568"")"),0)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IFERROR(__xludf.DUMMYFUNCTION("IMPORTRANGE(""https://docs.google.com/spreadsheets/d/1IYY_tgx_IHuhSq3AJ5eI5OnqOPBNLWSHKh2a30DoXe8/edit?usp=sharing"",""พัทลุง!J569"")"),0)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IFERROR(__xludf.DUMMYFUNCTION("IMPORTRANGE(""https://docs.google.com/spreadsheets/d/1IYY_tgx_IHuhSq3AJ5eI5OnqOPBNLWSHKh2a30DoXe8/edit?usp=sharing"",""พัทลุง!J570"")"),0)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IFERROR(__xludf.DUMMYFUNCTION("IMPORTRANGE(""https://docs.google.com/spreadsheets/d/1IYY_tgx_IHuhSq3AJ5eI5OnqOPBNLWSHKh2a30DoXe8/edit?usp=sharing"",""พัทลุง!J571"")"),0)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IFERROR(__xludf.DUMMYFUNCTION("IMPORTRANGE(""https://docs.google.com/spreadsheets/d/1IYY_tgx_IHuhSq3AJ5eI5OnqOPBNLWSHKh2a30DoXe8/edit?usp=sharing"",""พัทลุง!J572"")"),0)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รวมใต้!Print_Titles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2022-08-04T04:30:06Z</cp:lastPrinted>
  <dcterms:modified xsi:type="dcterms:W3CDTF">2022-08-04T04:30:20Z</dcterms:modified>
</cp:coreProperties>
</file>